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355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<sst xmlns="http://schemas.openxmlformats.org/spreadsheetml/2006/main" count="81" uniqueCount="58">
  <si>
    <t>VSB-064</t>
  </si>
  <si>
    <t>VSB-066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</si>
  <si>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</si>
  <si>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</si>
  <si>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</si>
  <si>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</si>
  <si>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</si>
  <si>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</si>
  <si>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</si>
  <si>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</si>
  <si>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</si>
  <si>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</si>
  <si>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</si>
  <si>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</si>
  <si>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</si>
  <si>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Date</t>
  </si>
  <si>
    <t>LS Intercept =</t>
  </si>
  <si>
    <t>LS Slope =</t>
  </si>
  <si>
    <t>New epoch =</t>
  </si>
  <si>
    <t>System Type:</t>
  </si>
  <si>
    <t>S6</t>
  </si>
  <si>
    <t>Primary</t>
  </si>
  <si>
    <t>Secondary</t>
  </si>
  <si>
    <t>Prim. Ephem. =</t>
  </si>
  <si>
    <t>Sec. Ephem. =</t>
  </si>
  <si>
    <t>Prim. Fit</t>
  </si>
  <si>
    <t>Sec. Fit</t>
  </si>
  <si>
    <t>S5</t>
  </si>
  <si>
    <t>na</t>
  </si>
  <si>
    <t># of data points =</t>
  </si>
  <si>
    <t>Start of Lin fit (row)</t>
  </si>
  <si>
    <t>Start cell (x)</t>
  </si>
  <si>
    <t>Start cell (y)</t>
  </si>
  <si>
    <t>My time zone &gt;&gt;&gt;&gt;&gt;</t>
  </si>
  <si>
    <t>(PST=8, PDT=MDT=7, MDT=CST=6, etc.)</t>
  </si>
  <si>
    <t>Local time</t>
  </si>
  <si>
    <t>Add cycle</t>
  </si>
  <si>
    <t>JD today</t>
  </si>
  <si>
    <t>Old Cycle</t>
  </si>
  <si>
    <t>New Cycle</t>
  </si>
  <si>
    <t>Next ToM</t>
  </si>
  <si>
    <t>PV Pup / GSC 5422-3294</t>
  </si>
  <si>
    <t>EA/DM</t>
  </si>
  <si>
    <t>PV Pup</t>
  </si>
  <si>
    <t>Kreiner</t>
  </si>
  <si>
    <t> AAP 132.219 </t>
  </si>
  <si>
    <t>I</t>
  </si>
  <si>
    <t>II</t>
  </si>
  <si>
    <t>IBVS 6048</t>
  </si>
  <si>
    <t>IBVS 6114</t>
  </si>
  <si>
    <t>OEJV 0172</t>
  </si>
  <si>
    <t>pg</t>
  </si>
  <si>
    <t>vis</t>
  </si>
  <si>
    <t>PE</t>
  </si>
  <si>
    <t>CCD</t>
  </si>
  <si>
    <t>s7</t>
  </si>
  <si>
    <t>OEJV 0181</t>
  </si>
  <si>
    <t>Ic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</si>
</sst>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6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15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172" fontId="14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61" applyFont="1">
      <alignment/>
      <protection/>
    </xf>
    <xf numFmtId="0" fontId="12" fillId="0" borderId="0" xfId="61" applyFont="1" applyAlignment="1">
      <alignment horizontal="center"/>
      <protection/>
    </xf>
    <xf numFmtId="0" fontId="12" fillId="0" borderId="0" xfId="61" applyFont="1" applyAlignment="1">
      <alignment horizontal="left"/>
      <protection/>
    </xf>
    <xf numFmtId="0" fontId="9" fillId="0" borderId="0" xfId="61" applyFont="1" applyAlignment="1">
      <alignment horizontal="left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Border="1" applyAlignment="1">
      <alignment horizontal="center"/>
      <protection/>
    </xf>
    <xf numFmtId="173" fontId="31" fillId="0" borderId="0" xfId="62" applyNumberFormat="1" applyFont="1" applyFill="1" applyBorder="1" applyAlignment="1" applyProtection="1">
      <alignment horizontal="left" vertical="top"/>
      <protection/>
    </xf>
    <xf numFmtId="0" fontId="31" fillId="0" borderId="0" xfId="62" applyNumberFormat="1" applyFont="1" applyFill="1" applyBorder="1" applyAlignment="1" applyProtection="1">
      <alignment horizontal="left" vertical="top"/>
      <protection/>
    </xf>
    <xf numFmtId="0" fontId="32" fillId="0" borderId="0" xfId="63" applyFont="1" applyAlignment="1">
      <alignment horizontal="left"/>
      <protection/>
    </xf>
    <xf numFmtId="0" fontId="32" fillId="0" borderId="0" xfId="63" applyFont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rmal_A_A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PV Pup - Prim.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0425"/>
          <c:w val="0.88725"/>
          <c:h val="0.7637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A!$R$20</c:f>
              <c:strCache>
                <c:ptCount val="1"/>
                <c:pt idx="0">
                  <c:v>Primary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A!$R$21:$R$921</c:f>
              <c:numCache/>
            </c:numRef>
          </c:yVal>
          <c:smooth val="0"/>
        </c:ser>
        <c:ser>
          <c:idx val="7"/>
          <c:order val="1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A!$O$21:$O$921</c:f>
              <c:numCache/>
            </c:numRef>
          </c:yVal>
          <c:smooth val="0"/>
        </c:ser>
        <c:axId val="48787012"/>
        <c:axId val="36429925"/>
      </c:scatterChart>
      <c:valAx>
        <c:axId val="48787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29925"/>
        <c:crosses val="autoZero"/>
        <c:crossBetween val="midCat"/>
        <c:dispUnits/>
      </c:valAx>
      <c:valAx>
        <c:axId val="36429925"/>
        <c:scaling>
          <c:orientation val="minMax"/>
          <c:max val="0.06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8701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47"/>
          <c:y val="0.931"/>
          <c:w val="0.226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PV Pup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0425"/>
          <c:w val="0.90325"/>
          <c:h val="0.79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A!$D$21:$D$494</c:f>
                <c:numCache>
                  <c:ptCount val="4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</c:v>
                  </c:pt>
                  <c:pt idx="7">
                    <c:v>0.0018</c:v>
                  </c:pt>
                  <c:pt idx="8">
                    <c:v>0.00025</c:v>
                  </c:pt>
                  <c:pt idx="9">
                    <c:v>0.01</c:v>
                  </c:pt>
                  <c:pt idx="10">
                    <c:v>0.01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plus>
            <c:minus>
              <c:numRef>
                <c:f>A!$D$21:$D$494</c:f>
                <c:numCache>
                  <c:ptCount val="4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</c:v>
                  </c:pt>
                  <c:pt idx="7">
                    <c:v>0.0018</c:v>
                  </c:pt>
                  <c:pt idx="8">
                    <c:v>0.00025</c:v>
                  </c:pt>
                  <c:pt idx="9">
                    <c:v>0.01</c:v>
                  </c:pt>
                  <c:pt idx="10">
                    <c:v>0.01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A!$H$21:$H$921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A!$I$21:$I$921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A!$J$21:$J$921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A!$K$21:$K$921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A!$L$21:$L$921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A!$M$21:$M$921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A!$N$21:$N$921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A!$F$21:$F$53</c:f>
              <c:numCache/>
            </c:numRef>
          </c:xVal>
          <c:yVal>
            <c:numRef>
              <c:f>A!$O$21:$O$53</c:f>
              <c:numCache/>
            </c:numRef>
          </c:yVal>
          <c:smooth val="0"/>
        </c:ser>
        <c:ser>
          <c:idx val="8"/>
          <c:order val="8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A!$P$21:$P$921</c:f>
              <c:numCache/>
            </c:numRef>
          </c:yVal>
          <c:smooth val="0"/>
        </c:ser>
        <c:axId val="59433870"/>
        <c:axId val="65142783"/>
      </c:scatterChart>
      <c:valAx>
        <c:axId val="5943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42783"/>
        <c:crosses val="autoZero"/>
        <c:crossBetween val="midCat"/>
        <c:dispUnits/>
      </c:valAx>
      <c:valAx>
        <c:axId val="65142783"/>
        <c:scaling>
          <c:orientation val="minMax"/>
          <c:max val="0.06"/>
          <c:min val="-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3387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75"/>
          <c:y val="0.93125"/>
          <c:w val="0.841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PV Pup - Sec.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0375"/>
          <c:w val="0.8885"/>
          <c:h val="0.764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A!$S$21:$S$921</c:f>
              <c:numCache/>
            </c:numRef>
          </c:yVal>
          <c:smooth val="0"/>
        </c:ser>
        <c:ser>
          <c:idx val="7"/>
          <c:order val="1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A!$P$21:$P$921</c:f>
              <c:numCache/>
            </c:numRef>
          </c:yVal>
          <c:smooth val="0"/>
        </c:ser>
        <c:axId val="49414136"/>
        <c:axId val="42074041"/>
      </c:scatterChart>
      <c:valAx>
        <c:axId val="4941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74041"/>
        <c:crosses val="autoZero"/>
        <c:crossBetween val="midCat"/>
        <c:dispUnits/>
      </c:valAx>
      <c:valAx>
        <c:axId val="42074041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1413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25"/>
          <c:y val="0.93125"/>
          <c:w val="0.339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0</xdr:row>
      <xdr:rowOff>0</xdr:rowOff>
    </xdr:from>
    <xdr:to>
      <xdr:col>22</xdr:col>
      <xdr:colOff>247650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9725025" y="0"/>
        <a:ext cx="45815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1190625</xdr:colOff>
      <xdr:row>0</xdr:row>
      <xdr:rowOff>0</xdr:rowOff>
    </xdr:from>
    <xdr:to>
      <xdr:col>15</xdr:col>
      <xdr:colOff>438150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4286250" y="0"/>
        <a:ext cx="56102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514350</xdr:colOff>
      <xdr:row>0</xdr:row>
      <xdr:rowOff>0</xdr:rowOff>
    </xdr:from>
    <xdr:to>
      <xdr:col>29</xdr:col>
      <xdr:colOff>381000</xdr:colOff>
      <xdr:row>18</xdr:row>
      <xdr:rowOff>47625</xdr:rowOff>
    </xdr:to>
    <xdr:graphicFrame>
      <xdr:nvGraphicFramePr>
        <xdr:cNvPr id="3" name="Chart 3"/>
        <xdr:cNvGraphicFramePr/>
      </xdr:nvGraphicFramePr>
      <xdr:xfrm>
        <a:off x="14573250" y="0"/>
        <a:ext cx="46672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0.421875" style="0" customWidth="1"/>
    <col min="4" max="4" width="8.28125" style="0" customWidth="1"/>
    <col min="5" max="5" width="9.421875" style="0" customWidth="1"/>
    <col min="6" max="6" width="18.421875" style="0" customWidth="1"/>
    <col min="7" max="7" width="9.0039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41</v>
      </c>
      <c r="C1" s="13"/>
    </row>
    <row r="2" spans="1:5" ht="12.75">
      <c r="A2" t="s">
        <v>19</v>
      </c>
      <c r="B2" t="s">
        <v>42</v>
      </c>
      <c r="C2" s="11"/>
      <c r="D2" s="11"/>
      <c r="E2" s="17" t="s">
        <v>43</v>
      </c>
    </row>
    <row r="3" ht="13.5" thickBot="1"/>
    <row r="4" spans="1:4" ht="14.25" thickBot="1" thickTop="1">
      <c r="A4" s="6" t="s">
        <v>2</v>
      </c>
      <c r="C4" s="30">
        <v>43119.73344</v>
      </c>
      <c r="D4" s="31">
        <v>1.660728</v>
      </c>
    </row>
    <row r="5" spans="1:4" ht="13.5" thickTop="1">
      <c r="A5" s="23" t="s">
        <v>33</v>
      </c>
      <c r="B5" s="17"/>
      <c r="C5" s="24">
        <v>-9.5</v>
      </c>
      <c r="D5" s="17" t="s">
        <v>34</v>
      </c>
    </row>
    <row r="6" ht="12.75">
      <c r="A6" s="6" t="s">
        <v>3</v>
      </c>
    </row>
    <row r="7" spans="1:4" ht="12.75">
      <c r="A7" t="s">
        <v>4</v>
      </c>
      <c r="C7" s="13">
        <v>52501.9685</v>
      </c>
      <c r="D7" s="32" t="s">
        <v>44</v>
      </c>
    </row>
    <row r="8" spans="1:4" ht="12.75">
      <c r="A8" t="s">
        <v>5</v>
      </c>
      <c r="C8" s="13">
        <v>1.6607277</v>
      </c>
      <c r="D8" s="32" t="s">
        <v>44</v>
      </c>
    </row>
    <row r="9" spans="1:4" ht="12.75">
      <c r="A9" s="15" t="s">
        <v>30</v>
      </c>
      <c r="B9" s="15"/>
      <c r="C9" s="16">
        <v>21</v>
      </c>
      <c r="D9" s="16">
        <v>21</v>
      </c>
    </row>
    <row r="10" spans="1:4" ht="13.5" thickBot="1">
      <c r="A10" s="17"/>
      <c r="B10" s="17"/>
      <c r="C10" s="5" t="s">
        <v>21</v>
      </c>
      <c r="D10" s="5" t="s">
        <v>22</v>
      </c>
    </row>
    <row r="11" spans="1:6" ht="12.75">
      <c r="A11" s="17" t="s">
        <v>16</v>
      </c>
      <c r="B11" s="17"/>
      <c r="C11" s="18">
        <f ca="1">INTERCEPT(INDIRECT(C14):R$935,INDIRECT(C13):$F$935)</f>
        <v>-0.0013855734838144145</v>
      </c>
      <c r="D11" s="18">
        <f ca="1">INTERCEPT(INDIRECT(D14):S$935,INDIRECT(D13):$F$935)</f>
        <v>0.045348134699618965</v>
      </c>
      <c r="E11" s="15" t="s">
        <v>36</v>
      </c>
      <c r="F11">
        <v>1</v>
      </c>
    </row>
    <row r="12" spans="1:6" ht="12.75">
      <c r="A12" s="17" t="s">
        <v>17</v>
      </c>
      <c r="B12" s="17"/>
      <c r="C12" s="18">
        <f ca="1">SLOPE(INDIRECT(C14):R$935,INDIRECT(C13):$F$935)</f>
        <v>-2.265553463827688E-07</v>
      </c>
      <c r="D12" s="18">
        <f ca="1">SLOPE(INDIRECT(D14):S$935,INDIRECT(D13):$F$935)</f>
        <v>-7.90161591581773E-08</v>
      </c>
      <c r="E12" s="15" t="s">
        <v>37</v>
      </c>
      <c r="F12" s="25">
        <f ca="1">NOW()+15018.5+$C$5/24</f>
        <v>59906.74724351852</v>
      </c>
    </row>
    <row r="13" spans="1:6" ht="12.75">
      <c r="A13" s="15" t="s">
        <v>31</v>
      </c>
      <c r="B13" s="15"/>
      <c r="C13" s="16" t="str">
        <f>"F"&amp;C9</f>
        <v>F21</v>
      </c>
      <c r="D13" s="16" t="str">
        <f>"F"&amp;D9</f>
        <v>F21</v>
      </c>
      <c r="E13" s="15" t="s">
        <v>38</v>
      </c>
      <c r="F13" s="25">
        <f>ROUND(2*(F12-$C$7)/$C$8,0)/2+F11</f>
        <v>4460</v>
      </c>
    </row>
    <row r="14" spans="1:6" ht="12.75">
      <c r="A14" s="15" t="s">
        <v>32</v>
      </c>
      <c r="B14" s="15"/>
      <c r="C14" s="16" t="str">
        <f>"R"&amp;C9</f>
        <v>R21</v>
      </c>
      <c r="D14" s="16" t="str">
        <f>"S"&amp;D9</f>
        <v>S21</v>
      </c>
      <c r="E14" s="15" t="s">
        <v>39</v>
      </c>
      <c r="F14" s="26">
        <f>ROUND(2*(F12-$C$15)/$C$16,0)/2+F11</f>
        <v>1077</v>
      </c>
    </row>
    <row r="15" spans="1:6" ht="12.75">
      <c r="A15" s="19" t="s">
        <v>18</v>
      </c>
      <c r="B15" s="17"/>
      <c r="C15" s="20">
        <f>($C7+C11)+($C8+C12)*INT(MAX($F21:$F3533))</f>
        <v>58120.20815708978</v>
      </c>
      <c r="D15" s="20">
        <f>($C7+D11)+($C8+D12)*INT(MAX($F21:$F3533))</f>
        <v>58120.25538992303</v>
      </c>
      <c r="E15" s="15" t="s">
        <v>40</v>
      </c>
      <c r="F15" s="27">
        <f>+$C$15+$C$16*F14-15018.5-$C$5/24</f>
        <v>44890.707479323006</v>
      </c>
    </row>
    <row r="16" spans="1:6" ht="12.75">
      <c r="A16" s="21" t="s">
        <v>6</v>
      </c>
      <c r="B16" s="17"/>
      <c r="C16" s="22">
        <f>+$C8+C12</f>
        <v>1.6607274734446535</v>
      </c>
      <c r="D16" s="18">
        <f>+$C8+D12</f>
        <v>1.6607276209838409</v>
      </c>
      <c r="E16" s="28"/>
      <c r="F16" s="28" t="s">
        <v>35</v>
      </c>
    </row>
    <row r="17" spans="1:3" ht="13.5" thickBot="1">
      <c r="A17" s="14" t="s">
        <v>29</v>
      </c>
      <c r="C17">
        <f>COUNT(C21:C1247)</f>
        <v>15</v>
      </c>
    </row>
    <row r="18" spans="1:5" ht="14.25" thickBot="1" thickTop="1">
      <c r="A18" s="6" t="s">
        <v>23</v>
      </c>
      <c r="C18" s="3">
        <f>+C15</f>
        <v>58120.20815708978</v>
      </c>
      <c r="D18" s="4">
        <f>+C16</f>
        <v>1.6607274734446535</v>
      </c>
      <c r="E18" s="29">
        <f>R19</f>
        <v>5</v>
      </c>
    </row>
    <row r="19" spans="1:19" ht="14.25" thickBot="1" thickTop="1">
      <c r="A19" s="6" t="s">
        <v>24</v>
      </c>
      <c r="C19" s="3">
        <f>+D15</f>
        <v>58120.25538992303</v>
      </c>
      <c r="D19" s="4">
        <f>+D16</f>
        <v>1.6607276209838409</v>
      </c>
      <c r="E19" s="29">
        <f>S19</f>
        <v>10</v>
      </c>
      <c r="R19">
        <f>COUNT(R21:R322)</f>
        <v>5</v>
      </c>
      <c r="S19">
        <f>COUNT(S21:S322)</f>
        <v>10</v>
      </c>
    </row>
    <row r="20" spans="1:19" ht="14.25" thickBot="1" thickTop="1">
      <c r="A20" s="5" t="s">
        <v>7</v>
      </c>
      <c r="B20" s="5" t="s">
        <v>8</v>
      </c>
      <c r="C20" s="5" t="s">
        <v>9</v>
      </c>
      <c r="D20" s="5" t="s">
        <v>14</v>
      </c>
      <c r="E20" s="5" t="s">
        <v>10</v>
      </c>
      <c r="F20" s="5" t="s">
        <v>11</v>
      </c>
      <c r="G20" s="5" t="s">
        <v>12</v>
      </c>
      <c r="H20" s="8" t="s">
        <v>51</v>
      </c>
      <c r="I20" s="8" t="s">
        <v>52</v>
      </c>
      <c r="J20" s="8" t="s">
        <v>53</v>
      </c>
      <c r="K20" s="8" t="s">
        <v>54</v>
      </c>
      <c r="L20" s="8" t="s">
        <v>27</v>
      </c>
      <c r="M20" s="8" t="s">
        <v>20</v>
      </c>
      <c r="N20" s="8" t="s">
        <v>55</v>
      </c>
      <c r="O20" s="8" t="s">
        <v>25</v>
      </c>
      <c r="P20" s="7" t="s">
        <v>26</v>
      </c>
      <c r="Q20" s="5" t="s">
        <v>15</v>
      </c>
      <c r="R20" s="9" t="s">
        <v>21</v>
      </c>
      <c r="S20" s="9" t="s">
        <v>22</v>
      </c>
    </row>
    <row r="21" spans="1:19" ht="12.75">
      <c r="A21" s="33" t="s">
        <v>45</v>
      </c>
      <c r="B21" s="34" t="s">
        <v>46</v>
      </c>
      <c r="C21" s="35">
        <v>43119.7334</v>
      </c>
      <c r="D21" s="13"/>
      <c r="E21">
        <f aca="true" t="shared" si="0" ref="E21:E30">+(C21-C$7)/C$8</f>
        <v>-5649.472276520712</v>
      </c>
      <c r="F21">
        <f aca="true" t="shared" si="1" ref="F21:F35">ROUND(2*E21,0)/2</f>
        <v>-5649.5</v>
      </c>
      <c r="G21">
        <f aca="true" t="shared" si="2" ref="G21:G30">+C21-(C$7+F21*C$8)</f>
        <v>0.04604114999528974</v>
      </c>
      <c r="H21">
        <f aca="true" t="shared" si="3" ref="H21:H26">+G21</f>
        <v>0.04604114999528974</v>
      </c>
      <c r="O21">
        <f aca="true" t="shared" si="4" ref="O21:O30">+C$11+C$12*$F21</f>
        <v>-0.00010564905442496213</v>
      </c>
      <c r="P21">
        <f aca="true" t="shared" si="5" ref="P21:P30">+D$11+D$12*$F21</f>
        <v>0.045794536490783085</v>
      </c>
      <c r="Q21" s="2">
        <f aca="true" t="shared" si="6" ref="Q21:Q30">+C21-15018.5</f>
        <v>28101.233399999997</v>
      </c>
      <c r="S21">
        <f>G21</f>
        <v>0.04604114999528974</v>
      </c>
    </row>
    <row r="22" spans="1:19" ht="12.75">
      <c r="A22" s="10" t="s">
        <v>13</v>
      </c>
      <c r="B22" s="11"/>
      <c r="C22" s="12">
        <v>43119.73344</v>
      </c>
      <c r="D22" s="13"/>
      <c r="E22">
        <f t="shared" si="0"/>
        <v>-5649.472252434881</v>
      </c>
      <c r="F22">
        <f t="shared" si="1"/>
        <v>-5649.5</v>
      </c>
      <c r="G22">
        <f t="shared" si="2"/>
        <v>0.046081150001555216</v>
      </c>
      <c r="H22">
        <f t="shared" si="3"/>
        <v>0.046081150001555216</v>
      </c>
      <c r="O22">
        <f t="shared" si="4"/>
        <v>-0.00010564905442496213</v>
      </c>
      <c r="P22">
        <f t="shared" si="5"/>
        <v>0.045794536490783085</v>
      </c>
      <c r="Q22" s="2">
        <f t="shared" si="6"/>
        <v>28101.233440000004</v>
      </c>
      <c r="S22">
        <f>G22</f>
        <v>0.046081150001555216</v>
      </c>
    </row>
    <row r="23" spans="1:18" ht="12.75">
      <c r="A23" s="33" t="s">
        <v>45</v>
      </c>
      <c r="B23" s="34" t="s">
        <v>47</v>
      </c>
      <c r="C23" s="35">
        <v>43123.8386</v>
      </c>
      <c r="D23" s="13"/>
      <c r="E23">
        <f t="shared" si="0"/>
        <v>-5647.000348100414</v>
      </c>
      <c r="F23">
        <f t="shared" si="1"/>
        <v>-5647</v>
      </c>
      <c r="G23">
        <f t="shared" si="2"/>
        <v>-0.0005780999999842606</v>
      </c>
      <c r="H23">
        <f t="shared" si="3"/>
        <v>-0.0005780999999842606</v>
      </c>
      <c r="O23">
        <f t="shared" si="4"/>
        <v>-0.00010621544279091895</v>
      </c>
      <c r="P23">
        <f t="shared" si="5"/>
        <v>0.04579433895038519</v>
      </c>
      <c r="Q23" s="2">
        <f t="shared" si="6"/>
        <v>28105.338600000003</v>
      </c>
      <c r="R23">
        <f>G23</f>
        <v>-0.0005780999999842606</v>
      </c>
    </row>
    <row r="24" spans="1:19" ht="12.75">
      <c r="A24" s="33" t="s">
        <v>45</v>
      </c>
      <c r="B24" s="34" t="s">
        <v>46</v>
      </c>
      <c r="C24" s="35">
        <v>43124.7146</v>
      </c>
      <c r="D24" s="13"/>
      <c r="E24">
        <f t="shared" si="0"/>
        <v>-5646.472868490122</v>
      </c>
      <c r="F24">
        <f t="shared" si="1"/>
        <v>-5646.5</v>
      </c>
      <c r="G24">
        <f t="shared" si="2"/>
        <v>0.045058049996441696</v>
      </c>
      <c r="H24">
        <f t="shared" si="3"/>
        <v>0.045058049996441696</v>
      </c>
      <c r="O24">
        <f t="shared" si="4"/>
        <v>-0.0001063287204641104</v>
      </c>
      <c r="P24">
        <f t="shared" si="5"/>
        <v>0.04579429944230561</v>
      </c>
      <c r="Q24" s="2">
        <f t="shared" si="6"/>
        <v>28106.2146</v>
      </c>
      <c r="S24">
        <f>G24</f>
        <v>0.045058049996441696</v>
      </c>
    </row>
    <row r="25" spans="1:18" ht="12.75">
      <c r="A25" s="33" t="s">
        <v>45</v>
      </c>
      <c r="B25" s="34" t="s">
        <v>47</v>
      </c>
      <c r="C25" s="35">
        <v>43153.7323</v>
      </c>
      <c r="D25" s="13"/>
      <c r="E25">
        <f t="shared" si="0"/>
        <v>-5628.999985970006</v>
      </c>
      <c r="F25">
        <f t="shared" si="1"/>
        <v>-5629</v>
      </c>
      <c r="G25">
        <f t="shared" si="2"/>
        <v>2.3300002794712782E-05</v>
      </c>
      <c r="H25">
        <f t="shared" si="3"/>
        <v>2.3300002794712782E-05</v>
      </c>
      <c r="O25">
        <f t="shared" si="4"/>
        <v>-0.00011029343902580879</v>
      </c>
      <c r="P25">
        <f t="shared" si="5"/>
        <v>0.045792916659520344</v>
      </c>
      <c r="Q25" s="2">
        <f t="shared" si="6"/>
        <v>28135.232300000003</v>
      </c>
      <c r="R25">
        <f>G25</f>
        <v>2.3300002794712782E-05</v>
      </c>
    </row>
    <row r="26" spans="1:18" ht="12.75">
      <c r="A26" s="33" t="s">
        <v>45</v>
      </c>
      <c r="B26" s="34" t="s">
        <v>47</v>
      </c>
      <c r="C26" s="35">
        <v>43555.6281</v>
      </c>
      <c r="D26" s="13"/>
      <c r="E26">
        <f t="shared" si="0"/>
        <v>-5387.000168661004</v>
      </c>
      <c r="F26">
        <f t="shared" si="1"/>
        <v>-5387</v>
      </c>
      <c r="G26">
        <f t="shared" si="2"/>
        <v>-0.000280100000964012</v>
      </c>
      <c r="H26">
        <f t="shared" si="3"/>
        <v>-0.000280100000964012</v>
      </c>
      <c r="O26">
        <f t="shared" si="4"/>
        <v>-0.00016511983285043903</v>
      </c>
      <c r="P26">
        <f t="shared" si="5"/>
        <v>0.04577379474900407</v>
      </c>
      <c r="Q26" s="2">
        <f t="shared" si="6"/>
        <v>28537.1281</v>
      </c>
      <c r="R26">
        <f>G26</f>
        <v>-0.000280100000964012</v>
      </c>
    </row>
    <row r="27" spans="1:18" ht="12.75">
      <c r="A27" t="str">
        <f>D$7</f>
        <v>Kreiner</v>
      </c>
      <c r="C27" s="13">
        <f>C$7</f>
        <v>52501.9685</v>
      </c>
      <c r="D27" s="13" t="s">
        <v>28</v>
      </c>
      <c r="E27">
        <f t="shared" si="0"/>
        <v>0</v>
      </c>
      <c r="F27">
        <f t="shared" si="1"/>
        <v>0</v>
      </c>
      <c r="G27">
        <f t="shared" si="2"/>
        <v>0</v>
      </c>
      <c r="I27">
        <f>+G27</f>
        <v>0</v>
      </c>
      <c r="O27">
        <f t="shared" si="4"/>
        <v>-0.0013855734838144145</v>
      </c>
      <c r="P27">
        <f t="shared" si="5"/>
        <v>0.045348134699618965</v>
      </c>
      <c r="Q27" s="2">
        <f t="shared" si="6"/>
        <v>37483.4685</v>
      </c>
      <c r="R27">
        <f>G27</f>
        <v>0</v>
      </c>
    </row>
    <row r="28" spans="1:19" ht="12.75">
      <c r="A28" s="36" t="s">
        <v>48</v>
      </c>
      <c r="B28" s="37" t="s">
        <v>46</v>
      </c>
      <c r="C28" s="38">
        <v>55970.4448</v>
      </c>
      <c r="D28" s="38">
        <v>0.0018</v>
      </c>
      <c r="E28">
        <f t="shared" si="0"/>
        <v>2088.52799890072</v>
      </c>
      <c r="F28">
        <f t="shared" si="1"/>
        <v>2088.5</v>
      </c>
      <c r="G28">
        <f t="shared" si="2"/>
        <v>0.04649854999297531</v>
      </c>
      <c r="J28">
        <f>+G28</f>
        <v>0.04649854999297531</v>
      </c>
      <c r="O28">
        <f t="shared" si="4"/>
        <v>-0.001858734324734827</v>
      </c>
      <c r="P28">
        <f t="shared" si="5"/>
        <v>0.04518310945121711</v>
      </c>
      <c r="Q28" s="2">
        <f t="shared" si="6"/>
        <v>40951.9448</v>
      </c>
      <c r="S28">
        <f>G28</f>
        <v>0.04649854999297531</v>
      </c>
    </row>
    <row r="29" spans="1:19" ht="12.75">
      <c r="A29" s="38" t="s">
        <v>49</v>
      </c>
      <c r="B29" s="37" t="s">
        <v>46</v>
      </c>
      <c r="C29" s="38">
        <v>56342.44639</v>
      </c>
      <c r="D29" s="38">
        <v>0.00025</v>
      </c>
      <c r="E29">
        <f t="shared" si="0"/>
        <v>2312.5271469850204</v>
      </c>
      <c r="F29">
        <f t="shared" si="1"/>
        <v>2312.5</v>
      </c>
      <c r="G29">
        <f t="shared" si="2"/>
        <v>0.04508374999568332</v>
      </c>
      <c r="K29">
        <f>+G29</f>
        <v>0.04508374999568332</v>
      </c>
      <c r="O29">
        <f t="shared" si="4"/>
        <v>-0.0019094827223245675</v>
      </c>
      <c r="P29">
        <f t="shared" si="5"/>
        <v>0.04516540983156568</v>
      </c>
      <c r="Q29" s="2">
        <f t="shared" si="6"/>
        <v>41323.94639</v>
      </c>
      <c r="S29">
        <f>G29</f>
        <v>0.04508374999568332</v>
      </c>
    </row>
    <row r="30" spans="1:18" ht="12.75">
      <c r="A30" s="39" t="s">
        <v>50</v>
      </c>
      <c r="B30" s="40" t="s">
        <v>47</v>
      </c>
      <c r="C30" s="41">
        <v>57012.502</v>
      </c>
      <c r="D30" s="41">
        <v>0.01</v>
      </c>
      <c r="E30">
        <f t="shared" si="0"/>
        <v>2715.998233786308</v>
      </c>
      <c r="F30">
        <f t="shared" si="1"/>
        <v>2716</v>
      </c>
      <c r="G30">
        <f t="shared" si="2"/>
        <v>-0.002933200004918035</v>
      </c>
      <c r="I30">
        <f>+G30</f>
        <v>-0.002933200004918035</v>
      </c>
      <c r="O30">
        <f t="shared" si="4"/>
        <v>-0.0020008978045900146</v>
      </c>
      <c r="P30">
        <f t="shared" si="5"/>
        <v>0.04513352681134536</v>
      </c>
      <c r="Q30" s="2">
        <f t="shared" si="6"/>
        <v>41994.002</v>
      </c>
      <c r="R30">
        <f>G30</f>
        <v>-0.002933200004918035</v>
      </c>
    </row>
    <row r="31" spans="1:19" ht="12.75">
      <c r="A31" s="42" t="s">
        <v>56</v>
      </c>
      <c r="B31" s="43" t="s">
        <v>46</v>
      </c>
      <c r="C31" s="44">
        <v>57815.515</v>
      </c>
      <c r="D31" s="45">
        <v>0.01</v>
      </c>
      <c r="E31">
        <f>+(C31-C$7)/C$8</f>
        <v>3199.529037782652</v>
      </c>
      <c r="F31">
        <f t="shared" si="1"/>
        <v>3199.5</v>
      </c>
      <c r="G31">
        <f>+C31-(C$7+F31*C$8)</f>
        <v>0.04822384999715723</v>
      </c>
      <c r="K31">
        <f>+G31</f>
        <v>0.04822384999715723</v>
      </c>
      <c r="O31">
        <f aca="true" t="shared" si="7" ref="O31:P35">+C$11+C$12*$F31</f>
        <v>-0.0021104373145660834</v>
      </c>
      <c r="P31">
        <f t="shared" si="7"/>
        <v>0.045095322498392376</v>
      </c>
      <c r="Q31" s="2">
        <f>+C31-15018.5</f>
        <v>42797.015</v>
      </c>
      <c r="S31">
        <f>G31</f>
        <v>0.04822384999715723</v>
      </c>
    </row>
    <row r="32" spans="1:19" ht="12.75">
      <c r="A32" s="46" t="s">
        <v>0</v>
      </c>
      <c r="B32" s="47" t="s">
        <v>46</v>
      </c>
      <c r="C32" s="48">
        <v>57769.0098</v>
      </c>
      <c r="D32" s="49" t="s">
        <v>57</v>
      </c>
      <c r="E32">
        <f>+(C32-C$7)/C$8</f>
        <v>3171.5261327910634</v>
      </c>
      <c r="F32">
        <f t="shared" si="1"/>
        <v>3171.5</v>
      </c>
      <c r="G32">
        <f>+C32-(C$7+F32*C$8)</f>
        <v>0.04339944999810541</v>
      </c>
      <c r="K32">
        <f>+G32</f>
        <v>0.04339944999810541</v>
      </c>
      <c r="O32">
        <f t="shared" si="7"/>
        <v>-0.0021040937648673656</v>
      </c>
      <c r="P32">
        <f t="shared" si="7"/>
        <v>0.045097534950848804</v>
      </c>
      <c r="Q32" s="2">
        <f>+C32-15018.5</f>
        <v>42750.5098</v>
      </c>
      <c r="S32">
        <f>G32</f>
        <v>0.04339944999810541</v>
      </c>
    </row>
    <row r="33" spans="1:19" ht="12.75">
      <c r="A33" s="50" t="s">
        <v>1</v>
      </c>
      <c r="B33" s="51" t="s">
        <v>46</v>
      </c>
      <c r="C33" s="50">
        <v>58121.0839999998</v>
      </c>
      <c r="D33" s="50" t="s">
        <v>28</v>
      </c>
      <c r="E33">
        <f>+(C33-C$7)/C$8</f>
        <v>3383.5260891955954</v>
      </c>
      <c r="F33">
        <f t="shared" si="1"/>
        <v>3383.5</v>
      </c>
      <c r="G33">
        <f>+C33-(C$7+F33*C$8)</f>
        <v>0.043327049796062056</v>
      </c>
      <c r="K33">
        <f>+G33</f>
        <v>0.043327049796062056</v>
      </c>
      <c r="O33">
        <f t="shared" si="7"/>
        <v>-0.0021521234983005125</v>
      </c>
      <c r="P33">
        <f t="shared" si="7"/>
        <v>0.04508078352510727</v>
      </c>
      <c r="Q33" s="2">
        <f>+C33-15018.5</f>
        <v>43102.5839999998</v>
      </c>
      <c r="S33">
        <f>G33</f>
        <v>0.043327049796062056</v>
      </c>
    </row>
    <row r="34" spans="1:19" ht="12.75">
      <c r="A34" s="50" t="s">
        <v>1</v>
      </c>
      <c r="B34" s="51" t="s">
        <v>46</v>
      </c>
      <c r="C34" s="50">
        <v>58121.08529999992</v>
      </c>
      <c r="D34" s="50" t="s">
        <v>28</v>
      </c>
      <c r="E34">
        <f>+(C34-C$7)/C$8</f>
        <v>3383.5268719850437</v>
      </c>
      <c r="F34">
        <f t="shared" si="1"/>
        <v>3383.5</v>
      </c>
      <c r="G34">
        <f>+C34-(C$7+F34*C$8)</f>
        <v>0.044627049916016404</v>
      </c>
      <c r="K34">
        <f>+G34</f>
        <v>0.044627049916016404</v>
      </c>
      <c r="O34">
        <f t="shared" si="7"/>
        <v>-0.0021521234983005125</v>
      </c>
      <c r="P34">
        <f t="shared" si="7"/>
        <v>0.04508078352510727</v>
      </c>
      <c r="Q34" s="2">
        <f>+C34-15018.5</f>
        <v>43102.58529999992</v>
      </c>
      <c r="S34">
        <f>G34</f>
        <v>0.044627049916016404</v>
      </c>
    </row>
    <row r="35" spans="1:19" ht="12.75">
      <c r="A35" s="50" t="s">
        <v>1</v>
      </c>
      <c r="B35" s="51" t="s">
        <v>46</v>
      </c>
      <c r="C35" s="50">
        <v>58121.085500000045</v>
      </c>
      <c r="D35" s="50" t="s">
        <v>28</v>
      </c>
      <c r="E35">
        <f>+(C35-C$7)/C$8</f>
        <v>3383.5269924142544</v>
      </c>
      <c r="F35">
        <f t="shared" si="1"/>
        <v>3383.5</v>
      </c>
      <c r="G35">
        <f>+C35-(C$7+F35*C$8)</f>
        <v>0.044827050041931216</v>
      </c>
      <c r="K35">
        <f>+G35</f>
        <v>0.044827050041931216</v>
      </c>
      <c r="O35">
        <f t="shared" si="7"/>
        <v>-0.0021521234983005125</v>
      </c>
      <c r="P35">
        <f t="shared" si="7"/>
        <v>0.04508078352510727</v>
      </c>
      <c r="Q35" s="2">
        <f>+C35-15018.5</f>
        <v>43102.585500000045</v>
      </c>
      <c r="S35">
        <f>G35</f>
        <v>0.044827050041931216</v>
      </c>
    </row>
  </sheetData>
  <sheetProtection/>
  <hyperlinks>
    <hyperlink ref="H63081" r:id="rId1" display="http://vsolj.cetus-net.org/bulletin.html"/>
    <hyperlink ref="H63074" r:id="rId2" display="https://www.aavso.org/ejaavso"/>
    <hyperlink ref="I63081" r:id="rId3" display="http://vsolj.cetus-net.org/bulletin.html"/>
    <hyperlink ref="AQ56732" r:id="rId4" display="http://cdsbib.u-strasbg.fr/cgi-bin/cdsbib?1990RMxAA..21..381G"/>
    <hyperlink ref="H63078" r:id="rId5" display="https://www.aavso.org/ejaavso"/>
    <hyperlink ref="AP4096" r:id="rId6" display="http://cdsbib.u-strasbg.fr/cgi-bin/cdsbib?1990RMxAA..21..381G"/>
    <hyperlink ref="AP4099" r:id="rId7" display="http://cdsbib.u-strasbg.fr/cgi-bin/cdsbib?1990RMxAA..21..381G"/>
    <hyperlink ref="AP4097" r:id="rId8" display="http://cdsbib.u-strasbg.fr/cgi-bin/cdsbib?1990RMxAA..21..381G"/>
    <hyperlink ref="AP4081" r:id="rId9" display="http://cdsbib.u-strasbg.fr/cgi-bin/cdsbib?1990RMxAA..21..381G"/>
    <hyperlink ref="AQ4310" r:id="rId10" display="http://cdsbib.u-strasbg.fr/cgi-bin/cdsbib?1990RMxAA..21..381G"/>
    <hyperlink ref="AQ4314" r:id="rId11" display="http://cdsbib.u-strasbg.fr/cgi-bin/cdsbib?1990RMxAA..21..381G"/>
    <hyperlink ref="AQ63994" r:id="rId12" display="http://cdsbib.u-strasbg.fr/cgi-bin/cdsbib?1990RMxAA..21..381G"/>
    <hyperlink ref="I1202" r:id="rId13" display="http://vsolj.cetus-net.org/bulletin.html"/>
    <hyperlink ref="H1202" r:id="rId14" display="http://vsolj.cetus-net.org/bulletin.html"/>
    <hyperlink ref="AQ64655" r:id="rId15" display="http://cdsbib.u-strasbg.fr/cgi-bin/cdsbib?1990RMxAA..21..381G"/>
    <hyperlink ref="AQ64654" r:id="rId16" display="http://cdsbib.u-strasbg.fr/cgi-bin/cdsbib?1990RMxAA..21..381G"/>
    <hyperlink ref="AP2372" r:id="rId17" display="http://cdsbib.u-strasbg.fr/cgi-bin/cdsbib?1990RMxAA..21..381G"/>
    <hyperlink ref="AP2390" r:id="rId18" display="http://cdsbib.u-strasbg.fr/cgi-bin/cdsbib?1990RMxAA..21..381G"/>
    <hyperlink ref="AP2391" r:id="rId19" display="http://cdsbib.u-strasbg.fr/cgi-bin/cdsbib?1990RMxAA..21..381G"/>
    <hyperlink ref="AP2387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2022-11-23T04:56:01Z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