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<sst xmlns="http://schemas.openxmlformats.org/spreadsheetml/2006/main" count="68" uniqueCount="56">
  <si>
    <t>GSC 5623-1173</t>
  </si>
  <si>
    <t>G5623-1173_Sco.xls</t>
  </si>
  <si>
    <t>System Type:</t>
  </si>
  <si>
    <t>EA</t>
  </si>
  <si>
    <t>Constell:</t>
  </si>
  <si>
    <t>Sco</t>
  </si>
  <si>
    <t>G5623-1173</t>
  </si>
  <si>
    <t>GCVS 4 Eph.</t>
  </si>
  <si>
    <t>not avail.</t>
  </si>
  <si>
    <t>--- Working ----</t>
  </si>
  <si>
    <t>Epoch =</t>
  </si>
  <si>
    <t>VSX</t>
  </si>
  <si>
    <t>Period =</t>
  </si>
  <si>
    <t>My time zone &gt;&gt;&gt;&gt;&gt;</t>
  </si>
  <si>
    <t>(PST=8, PDT=MDT=7, MDT=CST=6, etc.)</t>
  </si>
  <si>
    <t>Linear</t>
  </si>
  <si>
    <t>Quadratic</t>
  </si>
  <si>
    <t>LS Intercept =</t>
  </si>
  <si>
    <t>LS Slope =</t>
  </si>
  <si>
    <t>LS Quadr term =</t>
  </si>
  <si>
    <t>na</t>
  </si>
  <si>
    <t>Add cycle</t>
  </si>
  <si>
    <t>JD today</t>
  </si>
  <si>
    <t>New epoch =</t>
  </si>
  <si>
    <t>Old Cycle</t>
  </si>
  <si>
    <t>New Period =</t>
  </si>
  <si>
    <t>New Cycle</t>
  </si>
  <si>
    <t># of data points:</t>
  </si>
  <si>
    <t>Next ToM</t>
  </si>
  <si>
    <t>New Ephemeris =</t>
  </si>
  <si>
    <t>Local time</t>
  </si>
  <si>
    <t>Start of linear fit &gt;&gt;&gt;&gt;&gt;&gt;&gt;&gt;&gt;&gt;&gt;&gt;&gt;&gt;&gt;&gt;&gt;&gt;&gt;&gt;&gt;</t>
  </si>
  <si>
    <t>Source</t>
  </si>
  <si>
    <t>Typ</t>
  </si>
  <si>
    <t>ToM</t>
  </si>
  <si>
    <t>error</t>
  </si>
  <si>
    <t>n'</t>
  </si>
  <si>
    <t>n</t>
  </si>
  <si>
    <t>O-C</t>
  </si>
  <si>
    <t>IBVS</t>
  </si>
  <si>
    <t>S3</t>
  </si>
  <si>
    <t>S4</t>
  </si>
  <si>
    <t>S5</t>
  </si>
  <si>
    <t>S6</t>
  </si>
  <si>
    <t>Misc</t>
  </si>
  <si>
    <t>Lin Fit</t>
  </si>
  <si>
    <t>Q. Fit</t>
  </si>
  <si>
    <t>Date</t>
  </si>
  <si>
    <t>BAD</t>
  </si>
  <si>
    <t>IBVS 5992</t>
  </si>
  <si>
    <t>I</t>
  </si>
  <si>
    <t>IBVS 6029</t>
  </si>
  <si>
    <t>VSB 069</t>
  </si>
  <si>
    <t>B</t>
  </si>
  <si>
    <t>Ic</t>
  </si>
  <si>
    <t>U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</si>
</sst>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\$#,##0_);&quot;($&quot;#,##0\)"/>
    <numFmt numFmtId="165" formatCode="m/d/yyyy\ h:mm"/>
    <numFmt numFmtId="166" formatCode="m/d/yyyy"/>
    <numFmt numFmtId="167" formatCode="dd/mm/yyyy"/>
  </numFmts>
  <fonts count="47">
    <font>
      <sz val="10"/>
      <name val="Arial"/>
      <family val="2"/>
    </font>
    <font>
      <sz val="16"/>
      <name val="Arial"/>
      <family val="2"/>
    </font>
    <font>
      <sz val="10"/>
      <color indexed="2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14"/>
      <name val="Arial"/>
      <family val="2"/>
    </font>
    <font>
      <sz val="10"/>
      <color indexed="17"/>
      <name val="Arial"/>
      <family val="2"/>
    </font>
    <font>
      <sz val="8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6.7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6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3" fontId="0" fillId="0" borderId="0" applyFill="0" applyBorder="0" applyProtection="0">
      <alignment vertical="top"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164" fontId="0" fillId="0" borderId="0" applyFill="0" applyBorder="0" applyProtection="0">
      <alignment vertical="top"/>
    </xf>
    <xf numFmtId="0" fontId="0" fillId="0" borderId="0" applyFill="0" applyBorder="0" applyProtection="0">
      <alignment vertical="top"/>
    </xf>
    <xf numFmtId="0" fontId="35" fillId="0" borderId="0" applyNumberFormat="0" applyFill="0" applyBorder="0" applyAlignment="0" applyProtection="0"/>
    <xf numFmtId="2" fontId="0" fillId="0" borderId="0" applyFill="0" applyBorder="0" applyProtection="0">
      <alignment vertical="top"/>
    </xf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6">
    <xf numFmtId="0" fontId="0" fillId="0" borderId="0" xfId="0" applyAlignment="1">
      <alignment vertical="top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3" fillId="33" borderId="0" xfId="0" applyFont="1" applyFill="1" applyAlignment="1">
      <alignment vertical="center"/>
    </xf>
    <xf numFmtId="0" fontId="4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5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0" fillId="0" borderId="12" xfId="0" applyFont="1" applyBorder="1" applyAlignment="1">
      <alignment horizontal="center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/>
    </xf>
    <xf numFmtId="0" fontId="2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7" fillId="0" borderId="0" xfId="0" applyFont="1" applyAlignment="1">
      <alignment horizontal="center"/>
    </xf>
    <xf numFmtId="165" fontId="7" fillId="0" borderId="0" xfId="0" applyNumberFormat="1" applyFont="1" applyAlignment="1">
      <alignment vertical="top"/>
    </xf>
    <xf numFmtId="0" fontId="0" fillId="0" borderId="10" xfId="0" applyBorder="1" applyAlignment="1">
      <alignment vertical="top"/>
    </xf>
    <xf numFmtId="0" fontId="0" fillId="0" borderId="11" xfId="0" applyBorder="1" applyAlignment="1">
      <alignment vertical="top"/>
    </xf>
    <xf numFmtId="0" fontId="7" fillId="0" borderId="0" xfId="0" applyFont="1" applyAlignment="1">
      <alignment horizontal="right"/>
    </xf>
    <xf numFmtId="0" fontId="2" fillId="0" borderId="0" xfId="0" applyFont="1" applyAlignment="1">
      <alignment vertical="top"/>
    </xf>
    <xf numFmtId="0" fontId="6" fillId="0" borderId="0" xfId="0" applyFont="1" applyAlignment="1">
      <alignment horizontal="left"/>
    </xf>
    <xf numFmtId="0" fontId="4" fillId="0" borderId="12" xfId="0" applyFont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59" applyFont="1">
      <alignment/>
      <protection/>
    </xf>
    <xf numFmtId="0" fontId="9" fillId="0" borderId="0" xfId="59" applyFont="1" applyAlignment="1">
      <alignment horizontal="center"/>
      <protection/>
    </xf>
    <xf numFmtId="0" fontId="9" fillId="0" borderId="0" xfId="59" applyFont="1" applyAlignment="1">
      <alignment horizontal="left"/>
      <protection/>
    </xf>
    <xf numFmtId="167" fontId="0" fillId="0" borderId="0" xfId="0" applyNumberFormat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rmal_A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999933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9FF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GSC 5623-1173 - O-C Diagr.</a:t>
            </a:r>
          </a:p>
        </c:rich>
      </c:tx>
      <c:layout>
        <c:manualLayout>
          <c:xMode val="factor"/>
          <c:yMode val="factor"/>
          <c:x val="-0.006"/>
          <c:y val="0.01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2"/>
          <c:y val="0.19725"/>
          <c:w val="0.902"/>
          <c:h val="0.68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VSX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A!$F$21:$F$27</c:f>
              <c:numCache/>
            </c:numRef>
          </c:xVal>
          <c:yVal>
            <c:numRef>
              <c:f>A!$H$21:$H$27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A!$F$21:$F$27</c:f>
              <c:numCache/>
            </c:numRef>
          </c:xVal>
          <c:yVal>
            <c:numRef>
              <c:f>A!$I$21:$I$27</c:f>
              <c:numCache/>
            </c:numRef>
          </c:yVal>
          <c:smooth val="0"/>
        </c:ser>
        <c:ser>
          <c:idx val="2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9933"/>
              </a:solidFill>
              <a:ln>
                <a:solidFill>
                  <a:srgbClr val="999933"/>
                </a:solidFill>
              </a:ln>
            </c:spPr>
          </c:marker>
          <c:xVal>
            <c:numRef>
              <c:f>A!$F$21:$F$27</c:f>
              <c:numCache/>
            </c:numRef>
          </c:xVal>
          <c:yVal>
            <c:numRef>
              <c:f>A!$J$21:$J$27</c:f>
              <c:numCache/>
            </c:numRef>
          </c:yVal>
          <c:smooth val="0"/>
        </c:ser>
        <c:ser>
          <c:idx val="3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A!$F$21:$F$27</c:f>
              <c:numCache/>
            </c:numRef>
          </c:xVal>
          <c:yVal>
            <c:numRef>
              <c:f>A!$K$21:$K$27</c:f>
              <c:numCache/>
            </c:numRef>
          </c:yVal>
          <c:smooth val="0"/>
        </c:ser>
        <c:ser>
          <c:idx val="4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A!$F$21:$F$27</c:f>
              <c:numCache/>
            </c:numRef>
          </c:xVal>
          <c:yVal>
            <c:numRef>
              <c:f>A!$L$21:$L$27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A!$F$21:$F$27</c:f>
              <c:numCache/>
            </c:numRef>
          </c:xVal>
          <c:yVal>
            <c:numRef>
              <c:f>A!$M$21:$M$27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A!$F$21:$F$27</c:f>
              <c:numCache/>
            </c:numRef>
          </c:xVal>
          <c:yVal>
            <c:numRef>
              <c:f>A!$N$21:$N$27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A!$F$21:$F$27</c:f>
              <c:numCache/>
            </c:numRef>
          </c:xVal>
          <c:yVal>
            <c:numRef>
              <c:f>A!$O$21:$O$27</c:f>
              <c:numCache/>
            </c:numRef>
          </c:yVal>
          <c:smooth val="0"/>
        </c:ser>
        <c:ser>
          <c:idx val="8"/>
          <c:order val="8"/>
          <c:tx>
            <c:strRef>
              <c:f>A!$R$20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A!$F$21:$F$27</c:f>
              <c:numCache/>
            </c:numRef>
          </c:xVal>
          <c:yVal>
            <c:numRef>
              <c:f>A!$R$21:$R$27</c:f>
              <c:numCache/>
            </c:numRef>
          </c:yVal>
          <c:smooth val="0"/>
        </c:ser>
        <c:axId val="19034308"/>
        <c:axId val="37091045"/>
      </c:scatterChart>
      <c:valAx>
        <c:axId val="190343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9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091045"/>
        <c:crossesAt val="0"/>
        <c:crossBetween val="midCat"/>
        <c:dispUnits/>
      </c:valAx>
      <c:valAx>
        <c:axId val="370910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034308"/>
        <c:crossesAt val="0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8525"/>
          <c:y val="0.9105"/>
          <c:w val="0.735"/>
          <c:h val="0.05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0</xdr:row>
      <xdr:rowOff>0</xdr:rowOff>
    </xdr:from>
    <xdr:to>
      <xdr:col>16</xdr:col>
      <xdr:colOff>161925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3829050" y="0"/>
        <a:ext cx="6410325" cy="317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7"/>
  <sheetViews>
    <sheetView tabSelected="1" zoomScalePageLayoutView="0" workbookViewId="0" topLeftCell="A1">
      <selection activeCell="E7" sqref="E7"/>
    </sheetView>
  </sheetViews>
  <sheetFormatPr defaultColWidth="10.28125" defaultRowHeight="12.75"/>
  <cols>
    <col min="1" max="1" width="14.421875" style="1" customWidth="1"/>
    <col min="2" max="2" width="4.8515625" style="1" customWidth="1"/>
    <col min="3" max="3" width="11.8515625" style="1" customWidth="1"/>
    <col min="4" max="4" width="9.421875" style="1" customWidth="1"/>
    <col min="5" max="5" width="16.421875" style="1" customWidth="1"/>
    <col min="6" max="6" width="10.28125" style="1" customWidth="1"/>
    <col min="7" max="7" width="8.140625" style="1" customWidth="1"/>
    <col min="8" max="14" width="8.57421875" style="1" customWidth="1"/>
    <col min="15" max="15" width="8.00390625" style="1" customWidth="1"/>
    <col min="16" max="16" width="7.7109375" style="1" customWidth="1"/>
    <col min="17" max="17" width="9.8515625" style="1" customWidth="1"/>
    <col min="18" max="16384" width="10.28125" style="1" customWidth="1"/>
  </cols>
  <sheetData>
    <row r="1" spans="1:5" ht="20.25">
      <c r="A1" s="2" t="s">
        <v>0</v>
      </c>
      <c r="E1" s="1" t="s">
        <v>1</v>
      </c>
    </row>
    <row r="2" spans="1:6" ht="12.75">
      <c r="A2" s="1" t="s">
        <v>2</v>
      </c>
      <c r="B2" s="1" t="s">
        <v>3</v>
      </c>
      <c r="C2" s="3" t="s">
        <v>4</v>
      </c>
      <c r="D2" s="4" t="s">
        <v>5</v>
      </c>
      <c r="E2" s="5" t="s">
        <v>6</v>
      </c>
      <c r="F2" s="1" t="e">
        <v>#N/A</v>
      </c>
    </row>
    <row r="4" spans="1:4" ht="12.75">
      <c r="A4" s="6" t="s">
        <v>7</v>
      </c>
      <c r="C4" s="7" t="s">
        <v>8</v>
      </c>
      <c r="D4" s="8" t="s">
        <v>8</v>
      </c>
    </row>
    <row r="6" ht="12.75">
      <c r="A6" s="6" t="s">
        <v>9</v>
      </c>
    </row>
    <row r="7" spans="1:4" ht="12.75">
      <c r="A7" s="1" t="s">
        <v>10</v>
      </c>
      <c r="C7" s="9">
        <v>51926.16000000015</v>
      </c>
      <c r="D7" s="10" t="s">
        <v>11</v>
      </c>
    </row>
    <row r="8" spans="1:4" ht="12.75">
      <c r="A8" s="1" t="s">
        <v>12</v>
      </c>
      <c r="C8" s="9">
        <v>0.636979</v>
      </c>
      <c r="D8" s="10" t="s">
        <v>11</v>
      </c>
    </row>
    <row r="9" spans="1:5" ht="12.75">
      <c r="A9" s="11" t="s">
        <v>13</v>
      </c>
      <c r="B9"/>
      <c r="C9" s="12">
        <v>-9.5</v>
      </c>
      <c r="D9" t="s">
        <v>14</v>
      </c>
      <c r="E9"/>
    </row>
    <row r="10" spans="1:5" ht="12.75">
      <c r="A10"/>
      <c r="B10"/>
      <c r="C10" s="13" t="s">
        <v>15</v>
      </c>
      <c r="D10" s="13" t="s">
        <v>16</v>
      </c>
      <c r="E10"/>
    </row>
    <row r="11" spans="1:7" ht="12.75">
      <c r="A11" t="s">
        <v>17</v>
      </c>
      <c r="B11"/>
      <c r="C11" s="14">
        <f ca="1">INTERCEPT(INDIRECT($G$11):G992,INDIRECT($F$11):F992)</f>
        <v>-0.0002652927075015247</v>
      </c>
      <c r="D11" s="4"/>
      <c r="E11"/>
      <c r="F11" s="15" t="str">
        <f>"F"&amp;E19</f>
        <v>F21</v>
      </c>
      <c r="G11" s="16" t="str">
        <f>"G"&amp;E19</f>
        <v>G21</v>
      </c>
    </row>
    <row r="12" spans="1:5" ht="12.75">
      <c r="A12" t="s">
        <v>18</v>
      </c>
      <c r="B12"/>
      <c r="C12" s="14">
        <f ca="1">SLOPE(INDIRECT($G$11):G992,INDIRECT($F$11):F992)</f>
        <v>1.1793054420683216E-06</v>
      </c>
      <c r="D12" s="4"/>
      <c r="E12"/>
    </row>
    <row r="13" spans="1:5" ht="12.75">
      <c r="A13" t="s">
        <v>19</v>
      </c>
      <c r="B13"/>
      <c r="C13" s="4" t="s">
        <v>20</v>
      </c>
      <c r="D13" s="17" t="s">
        <v>21</v>
      </c>
      <c r="E13" s="12">
        <v>1</v>
      </c>
    </row>
    <row r="14" spans="1:5" ht="12.75">
      <c r="A14"/>
      <c r="B14"/>
      <c r="C14"/>
      <c r="D14" s="17" t="s">
        <v>22</v>
      </c>
      <c r="E14" s="14">
        <f ca="1">NOW()+15018.5+$C$9/24</f>
        <v>59906.78414953704</v>
      </c>
    </row>
    <row r="15" spans="1:5" ht="12.75">
      <c r="A15" s="18" t="s">
        <v>23</v>
      </c>
      <c r="B15"/>
      <c r="C15" s="19">
        <f>(C7+C11)+(C8+C12)*INT(MAX(F21:F3533))</f>
        <v>58927.208885453554</v>
      </c>
      <c r="D15" s="17" t="s">
        <v>24</v>
      </c>
      <c r="E15" s="14">
        <f>ROUND(2*(E14-$C$7)/$C$8,0)/2+E13</f>
        <v>12530</v>
      </c>
    </row>
    <row r="16" spans="1:5" ht="12.75">
      <c r="A16" s="18" t="s">
        <v>25</v>
      </c>
      <c r="B16"/>
      <c r="C16" s="19">
        <f>+C8+C12</f>
        <v>0.636980179305442</v>
      </c>
      <c r="D16" s="17" t="s">
        <v>26</v>
      </c>
      <c r="E16" s="16">
        <f>ROUND(2*(E14-$C$15)/$C$16,0)/2+E13</f>
        <v>1539</v>
      </c>
    </row>
    <row r="17" spans="1:5" ht="12.75">
      <c r="A17" s="17" t="s">
        <v>27</v>
      </c>
      <c r="B17"/>
      <c r="C17">
        <f>COUNT(C21:C2191)</f>
        <v>7</v>
      </c>
      <c r="D17" s="17" t="s">
        <v>28</v>
      </c>
      <c r="E17" s="20">
        <f>+$C$15+$C$16*E16-15018.5-$C$9/24</f>
        <v>44889.417214737965</v>
      </c>
    </row>
    <row r="18" spans="1:5" ht="12.75">
      <c r="A18" s="18" t="s">
        <v>29</v>
      </c>
      <c r="B18"/>
      <c r="C18" s="21">
        <f>+C15</f>
        <v>58927.208885453554</v>
      </c>
      <c r="D18" s="22">
        <f>+C16</f>
        <v>0.636980179305442</v>
      </c>
      <c r="E18" s="23" t="s">
        <v>30</v>
      </c>
    </row>
    <row r="19" spans="1:19" ht="12.75">
      <c r="A19" s="24" t="s">
        <v>31</v>
      </c>
      <c r="E19" s="25">
        <v>21</v>
      </c>
      <c r="S19" s="1">
        <f>SQRT(SUM(S21:S50)/(COUNT(S21:S50)-1))</f>
        <v>0.0013896030144360646</v>
      </c>
    </row>
    <row r="20" spans="1:18" ht="12.75">
      <c r="A20" s="13" t="s">
        <v>32</v>
      </c>
      <c r="B20" s="13" t="s">
        <v>33</v>
      </c>
      <c r="C20" s="13" t="s">
        <v>34</v>
      </c>
      <c r="D20" s="13" t="s">
        <v>35</v>
      </c>
      <c r="E20" s="13" t="s">
        <v>36</v>
      </c>
      <c r="F20" s="13" t="s">
        <v>37</v>
      </c>
      <c r="G20" s="13" t="s">
        <v>38</v>
      </c>
      <c r="H20" s="26" t="str">
        <f>A21</f>
        <v>VSX</v>
      </c>
      <c r="I20" s="26" t="s">
        <v>39</v>
      </c>
      <c r="J20" s="26" t="s">
        <v>40</v>
      </c>
      <c r="K20" s="26" t="s">
        <v>41</v>
      </c>
      <c r="L20" s="26" t="s">
        <v>42</v>
      </c>
      <c r="M20" s="26" t="s">
        <v>43</v>
      </c>
      <c r="N20" s="26" t="s">
        <v>44</v>
      </c>
      <c r="O20" s="26" t="s">
        <v>45</v>
      </c>
      <c r="P20" s="26" t="s">
        <v>46</v>
      </c>
      <c r="Q20" s="13" t="s">
        <v>47</v>
      </c>
      <c r="R20" s="27" t="s">
        <v>48</v>
      </c>
    </row>
    <row r="21" spans="1:19" ht="12.75">
      <c r="A21" s="1" t="str">
        <f>D7</f>
        <v>VSX</v>
      </c>
      <c r="C21" s="9">
        <f>C$7</f>
        <v>51926.16000000015</v>
      </c>
      <c r="D21" s="9" t="s">
        <v>20</v>
      </c>
      <c r="E21" s="1">
        <f aca="true" t="shared" si="0" ref="E21:E27">+(C21-C$7)/C$8</f>
        <v>0</v>
      </c>
      <c r="F21" s="1">
        <f aca="true" t="shared" si="1" ref="F21:F27">ROUND(2*E21,0)/2</f>
        <v>0</v>
      </c>
      <c r="G21" s="1">
        <f aca="true" t="shared" si="2" ref="G21:G27">+C21-(C$7+F21*C$8)</f>
        <v>0</v>
      </c>
      <c r="H21" s="1">
        <f>+G21</f>
        <v>0</v>
      </c>
      <c r="O21" s="1">
        <f aca="true" t="shared" si="3" ref="O21:O27">+C$11+C$12*$F21</f>
        <v>-0.0002652927075015247</v>
      </c>
      <c r="Q21" s="35">
        <f aca="true" t="shared" si="4" ref="Q21:Q27">+C21-15018.5</f>
        <v>36907.66000000015</v>
      </c>
      <c r="S21" s="1">
        <f aca="true" t="shared" si="5" ref="S21:S27">+(O21-G21)^2</f>
        <v>7.038022065348953E-08</v>
      </c>
    </row>
    <row r="22" spans="1:19" ht="12.75">
      <c r="A22" s="28" t="s">
        <v>49</v>
      </c>
      <c r="B22" s="29" t="s">
        <v>50</v>
      </c>
      <c r="C22" s="28">
        <v>55665.8702</v>
      </c>
      <c r="D22" s="28">
        <v>0.0002</v>
      </c>
      <c r="E22" s="1">
        <f t="shared" si="0"/>
        <v>5871.010190288611</v>
      </c>
      <c r="F22" s="1">
        <f t="shared" si="1"/>
        <v>5871</v>
      </c>
      <c r="G22" s="1">
        <f t="shared" si="2"/>
        <v>0.006490999847301282</v>
      </c>
      <c r="I22" s="1">
        <f aca="true" t="shared" si="6" ref="I22:I27">+G22</f>
        <v>0.006490999847301282</v>
      </c>
      <c r="O22" s="1">
        <f t="shared" si="3"/>
        <v>0.006658409542881592</v>
      </c>
      <c r="Q22" s="35">
        <f t="shared" si="4"/>
        <v>40647.3702</v>
      </c>
      <c r="S22" s="1">
        <f t="shared" si="5"/>
        <v>2.8026006174292E-08</v>
      </c>
    </row>
    <row r="23" spans="1:19" ht="12.75">
      <c r="A23" s="30" t="s">
        <v>51</v>
      </c>
      <c r="B23" s="31" t="s">
        <v>50</v>
      </c>
      <c r="C23" s="30">
        <v>56051.8799</v>
      </c>
      <c r="D23" s="30">
        <v>0.0002</v>
      </c>
      <c r="E23" s="1">
        <f t="shared" si="0"/>
        <v>6477.010859070473</v>
      </c>
      <c r="F23" s="1">
        <f t="shared" si="1"/>
        <v>6477</v>
      </c>
      <c r="G23" s="1">
        <f t="shared" si="2"/>
        <v>0.006916999853274319</v>
      </c>
      <c r="I23" s="1">
        <f t="shared" si="6"/>
        <v>0.006916999853274319</v>
      </c>
      <c r="O23" s="1">
        <f t="shared" si="3"/>
        <v>0.007373068640774995</v>
      </c>
      <c r="Q23" s="35">
        <f t="shared" si="4"/>
        <v>41033.3799</v>
      </c>
      <c r="S23" s="1">
        <f t="shared" si="5"/>
        <v>2.0799873893233616E-07</v>
      </c>
    </row>
    <row r="24" spans="1:19" ht="12.75">
      <c r="A24" s="32" t="s">
        <v>52</v>
      </c>
      <c r="B24" s="33" t="s">
        <v>50</v>
      </c>
      <c r="C24" s="34">
        <v>58927.2075</v>
      </c>
      <c r="D24" s="34" t="s">
        <v>53</v>
      </c>
      <c r="E24" s="1">
        <f t="shared" si="0"/>
        <v>10991.017757257065</v>
      </c>
      <c r="F24" s="1">
        <f t="shared" si="1"/>
        <v>10991</v>
      </c>
      <c r="G24" s="1">
        <f t="shared" si="2"/>
        <v>0.01131099984922912</v>
      </c>
      <c r="I24" s="1">
        <f t="shared" si="6"/>
        <v>0.01131099984922912</v>
      </c>
      <c r="O24" s="1">
        <f t="shared" si="3"/>
        <v>0.012696453406271398</v>
      </c>
      <c r="Q24" s="35">
        <f t="shared" si="4"/>
        <v>43908.7075</v>
      </c>
      <c r="S24" s="1">
        <f t="shared" si="5"/>
        <v>1.9194815587211027E-06</v>
      </c>
    </row>
    <row r="25" spans="1:19" ht="12.75">
      <c r="A25" s="32" t="s">
        <v>52</v>
      </c>
      <c r="B25" s="33" t="s">
        <v>50</v>
      </c>
      <c r="C25" s="34">
        <v>58927.208</v>
      </c>
      <c r="D25" s="34" t="s">
        <v>53</v>
      </c>
      <c r="E25" s="1">
        <f t="shared" si="0"/>
        <v>10991.018542212303</v>
      </c>
      <c r="F25" s="1">
        <f t="shared" si="1"/>
        <v>10991</v>
      </c>
      <c r="G25" s="1">
        <f t="shared" si="2"/>
        <v>0.011810999851149973</v>
      </c>
      <c r="I25" s="1">
        <f t="shared" si="6"/>
        <v>0.011810999851149973</v>
      </c>
      <c r="O25" s="1">
        <f t="shared" si="3"/>
        <v>0.012696453406271398</v>
      </c>
      <c r="Q25" s="35">
        <f t="shared" si="4"/>
        <v>43908.708</v>
      </c>
      <c r="S25" s="1">
        <f t="shared" si="5"/>
        <v>7.840279982771719E-07</v>
      </c>
    </row>
    <row r="26" spans="1:19" ht="12.75">
      <c r="A26" s="32" t="s">
        <v>52</v>
      </c>
      <c r="B26" s="33" t="s">
        <v>50</v>
      </c>
      <c r="C26" s="34">
        <v>58927.2086</v>
      </c>
      <c r="D26" s="34" t="s">
        <v>54</v>
      </c>
      <c r="E26" s="1">
        <f t="shared" si="0"/>
        <v>10991.019484158582</v>
      </c>
      <c r="F26" s="1">
        <f t="shared" si="1"/>
        <v>10991</v>
      </c>
      <c r="G26" s="1">
        <f t="shared" si="2"/>
        <v>0.012410999850544613</v>
      </c>
      <c r="I26" s="1">
        <f t="shared" si="6"/>
        <v>0.012410999850544613</v>
      </c>
      <c r="O26" s="1">
        <f t="shared" si="3"/>
        <v>0.012696453406271398</v>
      </c>
      <c r="Q26" s="35">
        <f t="shared" si="4"/>
        <v>43908.7086</v>
      </c>
      <c r="S26" s="1">
        <f t="shared" si="5"/>
        <v>8.148373247706505E-08</v>
      </c>
    </row>
    <row r="27" spans="1:19" ht="12.75">
      <c r="A27" s="32" t="s">
        <v>52</v>
      </c>
      <c r="B27" s="33" t="s">
        <v>50</v>
      </c>
      <c r="C27" s="34">
        <v>58927.2118</v>
      </c>
      <c r="D27" s="34" t="s">
        <v>55</v>
      </c>
      <c r="E27" s="1">
        <f t="shared" si="0"/>
        <v>10991.024507872078</v>
      </c>
      <c r="F27" s="1">
        <f t="shared" si="1"/>
        <v>10991</v>
      </c>
      <c r="G27" s="1">
        <f t="shared" si="2"/>
        <v>0.015610999849741347</v>
      </c>
      <c r="I27" s="1">
        <f t="shared" si="6"/>
        <v>0.015610999849741347</v>
      </c>
      <c r="O27" s="1">
        <f t="shared" si="3"/>
        <v>0.012696453406271398</v>
      </c>
      <c r="Q27" s="35">
        <f t="shared" si="4"/>
        <v>43908.7118</v>
      </c>
      <c r="S27" s="1">
        <f t="shared" si="5"/>
        <v>8.494580971143327E-06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dcterms:modified xsi:type="dcterms:W3CDTF">2022-11-23T05:49:10Z</dcterms:modified>
  <cp:category/>
  <cp:version/>
  <cp:contentType/>
  <cp:contentStatus/>
</cp:coreProperties>
</file>