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24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<sst xmlns="http://schemas.openxmlformats.org/spreadsheetml/2006/main" count="170" uniqueCount="93">
  <si>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</si>
  <si>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</si>
  <si>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</si>
  <si>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</si>
  <si>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</si>
  <si>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</si>
  <si>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</si>
  <si>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</si>
  <si>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</si>
  <si>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</si>
  <si>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</si>
  <si>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</si>
  <si>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</si>
  <si>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</si>
  <si>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</si>
  <si>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</si>
  <si>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</si>
  <si>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</si>
  <si>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</si>
  <si>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</si>
  <si>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</si>
  <si>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</si>
  <si>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</si>
  <si>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</si>
  <si>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</si>
  <si>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</si>
  <si>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</si>
  <si>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</si>
  <si>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</si>
  <si>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</si>
  <si>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</si>
  <si>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</si>
  <si>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</si>
  <si>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</si>
  <si>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</si>
  <si>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</si>
  <si>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</si>
  <si>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</si>
  <si>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</si>
  <si>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</si>
  <si>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</si>
  <si>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</si>
  <si>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</si>
  <si>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</si>
  <si>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</si>
  <si>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</si>
  <si>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</si>
  <si>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</si>
  <si>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2424321.375 </t>
  </si>
  <si>
    <t> 19.06.1925 21:00 </t>
  </si>
  <si>
    <t> 0.106 </t>
  </si>
  <si>
    <t>P </t>
  </si>
  <si>
    <t> P.Shajn </t>
  </si>
  <si>
    <t> PZ 4.342 </t>
  </si>
  <si>
    <t>2426928.299 </t>
  </si>
  <si>
    <t> 08.08.1932 19:10 </t>
  </si>
  <si>
    <t> -0.179 </t>
  </si>
  <si>
    <t>2430918.26 </t>
  </si>
  <si>
    <t> 12.07.1943 18:14 </t>
  </si>
  <si>
    <t> -0.01 </t>
  </si>
  <si>
    <t> Zessew.&amp;Pelishenko </t>
  </si>
  <si>
    <t> IODE 1.61 </t>
  </si>
  <si>
    <t>2430926.20 </t>
  </si>
  <si>
    <t> 20.07.1943 16:48 </t>
  </si>
  <si>
    <t> 0.00 </t>
  </si>
  <si>
    <t>2430961.22 </t>
  </si>
  <si>
    <t> 24.08.1943 17:16 </t>
  </si>
  <si>
    <t> -0.00 </t>
  </si>
  <si>
    <t>2430969.22 </t>
  </si>
  <si>
    <t> 01.09.1943 17:16 </t>
  </si>
  <si>
    <t> 0.06 </t>
  </si>
  <si>
    <t>2430996.20 </t>
  </si>
  <si>
    <t> 28.09.1943 16:48 </t>
  </si>
  <si>
    <t> -0.05 </t>
  </si>
  <si>
    <t>2431000.20 </t>
  </si>
  <si>
    <t> 02.10.1943 16:48 </t>
  </si>
  <si>
    <t> -0.02 </t>
  </si>
  <si>
    <t>2431257.32 </t>
  </si>
  <si>
    <t> 15.06.1944 19:40 </t>
  </si>
  <si>
    <t> 0.02 </t>
  </si>
  <si>
    <t>2431265.27 </t>
  </si>
  <si>
    <t> 23.06.1944 18:28 </t>
  </si>
  <si>
    <t> 0.04 </t>
  </si>
  <si>
    <t>2431292.32 </t>
  </si>
  <si>
    <t> 20.07.1944 19:40 </t>
  </si>
  <si>
    <t>2431343.20 </t>
  </si>
  <si>
    <t> 09.09.1944 16:48 </t>
  </si>
  <si>
    <t>I</t>
  </si>
  <si>
    <t>II</t>
  </si>
  <si>
    <t>EQ Sct</t>
  </si>
  <si>
    <t>EB</t>
  </si>
  <si>
    <t>GCVS 4</t>
  </si>
  <si>
    <t>EQ Sct / GSC 30918.267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</si>
</sst>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 Sct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342501"/>
        <c:axId val="52973646"/>
      </c:scatterChart>
      <c:valAx>
        <c:axId val="1334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crossBetween val="midCat"/>
        <c:dispUnits/>
      </c:valAx>
      <c:valAx>
        <c:axId val="52973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17</xdr:col>
      <xdr:colOff>228600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577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92</v>
      </c>
      <c r="F1" s="48" t="s">
        <v>89</v>
      </c>
      <c r="G1" s="49">
        <v>18.2702</v>
      </c>
      <c r="H1" s="50">
        <v>-11.5919</v>
      </c>
      <c r="I1" s="32">
        <v>30918.267</v>
      </c>
      <c r="J1" s="32">
        <v>1.3217788</v>
      </c>
      <c r="K1" s="51" t="s">
        <v>90</v>
      </c>
      <c r="L1" s="31"/>
      <c r="M1" s="32">
        <v>30918.267</v>
      </c>
      <c r="N1" s="32">
        <v>1.3217788</v>
      </c>
      <c r="O1" s="35" t="s">
        <v>90</v>
      </c>
    </row>
    <row r="2" spans="1:4" ht="12.75">
      <c r="A2" t="s">
        <v>23</v>
      </c>
      <c r="B2" t="s">
        <v>90</v>
      </c>
      <c r="C2" s="30"/>
      <c r="D2" s="3"/>
    </row>
    <row r="3" ht="13.5" thickBot="1"/>
    <row r="4" spans="1:4" ht="14.25" thickBot="1" thickTop="1">
      <c r="A4" s="5" t="s">
        <v>0</v>
      </c>
      <c r="C4" s="27">
        <v>30918.267</v>
      </c>
      <c r="D4" s="28">
        <v>1.3217788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30918.267</v>
      </c>
      <c r="D7" s="29" t="s">
        <v>91</v>
      </c>
    </row>
    <row r="8" spans="1:4" ht="12.75">
      <c r="A8" t="s">
        <v>3</v>
      </c>
      <c r="C8" s="8">
        <v>1.3217788</v>
      </c>
      <c r="D8" s="29" t="s">
        <v>91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-0.005196665847818986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-6.236626828744314E-07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31342.552597938433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1.321778176337317</v>
      </c>
      <c r="E16" s="14" t="s">
        <v>30</v>
      </c>
      <c r="F16" s="34">
        <f ca="1">NOW()+15018.5+$C$5/24</f>
        <v>59906.786718749994</v>
      </c>
    </row>
    <row r="17" spans="1:6" ht="13.5" thickBot="1">
      <c r="A17" s="14" t="s">
        <v>27</v>
      </c>
      <c r="B17" s="10"/>
      <c r="C17" s="10">
        <f>COUNT(C21:C2191)</f>
        <v>13</v>
      </c>
      <c r="E17" s="14" t="s">
        <v>35</v>
      </c>
      <c r="F17" s="15">
        <f>ROUND(2*(F16-$C$7)/$C$8,0)/2+F15</f>
        <v>21932.5</v>
      </c>
    </row>
    <row r="18" spans="1:6" ht="14.25" thickBot="1" thickTop="1">
      <c r="A18" s="16" t="s">
        <v>5</v>
      </c>
      <c r="B18" s="10"/>
      <c r="C18" s="19">
        <f>+C15</f>
        <v>31342.552597938433</v>
      </c>
      <c r="D18" s="20">
        <f>+C16</f>
        <v>1.321778176337317</v>
      </c>
      <c r="E18" s="14" t="s">
        <v>36</v>
      </c>
      <c r="F18" s="23">
        <f>ROUND(2*(F16-$C$15)/$C$16,0)/2+F15</f>
        <v>21611.5</v>
      </c>
    </row>
    <row r="19" spans="5:6" ht="13.5" thickTop="1">
      <c r="E19" s="14" t="s">
        <v>31</v>
      </c>
      <c r="F19" s="18">
        <f>+$C$15+$C$16*F18-15018.5-$C$5/24</f>
        <v>44890.057489185696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2" t="s">
        <v>53</v>
      </c>
      <c r="B21" s="54" t="s">
        <v>87</v>
      </c>
      <c r="C21" s="53">
        <v>24321.375</v>
      </c>
      <c r="D21" s="8"/>
      <c r="E21">
        <f aca="true" t="shared" si="0" ref="E21:E33">+(C21-C$7)/C$8</f>
        <v>-4990.9198119988005</v>
      </c>
      <c r="F21">
        <f aca="true" t="shared" si="1" ref="F21:F33">ROUND(2*E21,0)/2</f>
        <v>-4991</v>
      </c>
      <c r="G21">
        <f aca="true" t="shared" si="2" ref="G21:G33">+C21-(C$7+F21*C$8)</f>
        <v>0.10599079999883543</v>
      </c>
      <c r="H21">
        <f aca="true" t="shared" si="3" ref="H21:H33">+G21</f>
        <v>0.10599079999883543</v>
      </c>
      <c r="O21">
        <f aca="true" t="shared" si="4" ref="O21:O33">+C$11+C$12*$F21</f>
        <v>-0.0020839653975926985</v>
      </c>
      <c r="Q21" s="2">
        <f aca="true" t="shared" si="5" ref="Q21:Q33">+C21-15018.5</f>
        <v>9302.875</v>
      </c>
    </row>
    <row r="22" spans="1:17" ht="12.75">
      <c r="A22" s="52" t="s">
        <v>53</v>
      </c>
      <c r="B22" s="54" t="s">
        <v>88</v>
      </c>
      <c r="C22" s="53">
        <v>26928.299</v>
      </c>
      <c r="D22" s="8"/>
      <c r="E22">
        <f t="shared" si="0"/>
        <v>-3018.63519069908</v>
      </c>
      <c r="F22">
        <f t="shared" si="1"/>
        <v>-3018.5</v>
      </c>
      <c r="G22">
        <f t="shared" si="2"/>
        <v>-0.17869220000284258</v>
      </c>
      <c r="H22">
        <f t="shared" si="3"/>
        <v>-0.17869220000284258</v>
      </c>
      <c r="O22">
        <f t="shared" si="4"/>
        <v>-0.0033141400395625144</v>
      </c>
      <c r="Q22" s="2">
        <f t="shared" si="5"/>
        <v>11909.798999999999</v>
      </c>
    </row>
    <row r="23" spans="1:17" ht="12.75">
      <c r="A23" s="52" t="s">
        <v>61</v>
      </c>
      <c r="B23" s="54" t="s">
        <v>87</v>
      </c>
      <c r="C23" s="53">
        <v>30918.26</v>
      </c>
      <c r="D23" s="8"/>
      <c r="E23">
        <f t="shared" si="0"/>
        <v>-0.005295893686164499</v>
      </c>
      <c r="F23">
        <f t="shared" si="1"/>
        <v>0</v>
      </c>
      <c r="G23">
        <f t="shared" si="2"/>
        <v>-0.007000000001426088</v>
      </c>
      <c r="H23">
        <f t="shared" si="3"/>
        <v>-0.007000000001426088</v>
      </c>
      <c r="O23">
        <f t="shared" si="4"/>
        <v>-0.005196665847818986</v>
      </c>
      <c r="Q23" s="2">
        <f t="shared" si="5"/>
        <v>15899.759999999998</v>
      </c>
    </row>
    <row r="24" spans="1:17" ht="12.75">
      <c r="A24" t="s">
        <v>91</v>
      </c>
      <c r="C24" s="8">
        <v>30918.267</v>
      </c>
      <c r="D24" s="8" t="s">
        <v>13</v>
      </c>
      <c r="E24">
        <f t="shared" si="0"/>
        <v>0</v>
      </c>
      <c r="F24">
        <f t="shared" si="1"/>
        <v>0</v>
      </c>
      <c r="G24">
        <f t="shared" si="2"/>
        <v>0</v>
      </c>
      <c r="H24">
        <f t="shared" si="3"/>
        <v>0</v>
      </c>
      <c r="O24">
        <f t="shared" si="4"/>
        <v>-0.005196665847818986</v>
      </c>
      <c r="Q24" s="2">
        <f t="shared" si="5"/>
        <v>15899.767</v>
      </c>
    </row>
    <row r="25" spans="1:17" ht="12.75">
      <c r="A25" s="52" t="s">
        <v>61</v>
      </c>
      <c r="B25" s="54" t="s">
        <v>87</v>
      </c>
      <c r="C25" s="53">
        <v>30926.2</v>
      </c>
      <c r="D25" s="8"/>
      <c r="E25">
        <f t="shared" si="0"/>
        <v>6.001760657684102</v>
      </c>
      <c r="F25">
        <f t="shared" si="1"/>
        <v>6</v>
      </c>
      <c r="G25">
        <f t="shared" si="2"/>
        <v>0.0023271999998542015</v>
      </c>
      <c r="H25">
        <f t="shared" si="3"/>
        <v>0.0023271999998542015</v>
      </c>
      <c r="O25">
        <f t="shared" si="4"/>
        <v>-0.005200407823916232</v>
      </c>
      <c r="Q25" s="2">
        <f t="shared" si="5"/>
        <v>15907.7</v>
      </c>
    </row>
    <row r="26" spans="1:17" ht="12.75">
      <c r="A26" s="52" t="s">
        <v>61</v>
      </c>
      <c r="B26" s="54" t="s">
        <v>88</v>
      </c>
      <c r="C26" s="53">
        <v>30961.22</v>
      </c>
      <c r="D26" s="8"/>
      <c r="E26">
        <f t="shared" si="0"/>
        <v>32.49636020792688</v>
      </c>
      <c r="F26">
        <f t="shared" si="1"/>
        <v>32.5</v>
      </c>
      <c r="G26">
        <f t="shared" si="2"/>
        <v>-0.004810999998881016</v>
      </c>
      <c r="H26">
        <f t="shared" si="3"/>
        <v>-0.004810999998881016</v>
      </c>
      <c r="O26">
        <f t="shared" si="4"/>
        <v>-0.005216934885012405</v>
      </c>
      <c r="Q26" s="2">
        <f t="shared" si="5"/>
        <v>15942.720000000001</v>
      </c>
    </row>
    <row r="27" spans="1:17" ht="12.75">
      <c r="A27" s="52" t="s">
        <v>61</v>
      </c>
      <c r="B27" s="54" t="s">
        <v>88</v>
      </c>
      <c r="C27" s="53">
        <v>30969.22</v>
      </c>
      <c r="D27" s="8"/>
      <c r="E27">
        <f t="shared" si="0"/>
        <v>38.548810133738975</v>
      </c>
      <c r="F27">
        <f t="shared" si="1"/>
        <v>38.5</v>
      </c>
      <c r="G27">
        <f t="shared" si="2"/>
        <v>0.06451620000007097</v>
      </c>
      <c r="H27">
        <f t="shared" si="3"/>
        <v>0.06451620000007097</v>
      </c>
      <c r="O27">
        <f t="shared" si="4"/>
        <v>-0.005220676861109651</v>
      </c>
      <c r="Q27" s="2">
        <f t="shared" si="5"/>
        <v>15950.720000000001</v>
      </c>
    </row>
    <row r="28" spans="1:17" ht="12.75">
      <c r="A28" s="52" t="s">
        <v>61</v>
      </c>
      <c r="B28" s="54" t="s">
        <v>87</v>
      </c>
      <c r="C28" s="53">
        <v>30996.2</v>
      </c>
      <c r="D28" s="8"/>
      <c r="E28">
        <f t="shared" si="0"/>
        <v>58.96069750853994</v>
      </c>
      <c r="F28">
        <f t="shared" si="1"/>
        <v>59</v>
      </c>
      <c r="G28">
        <f t="shared" si="2"/>
        <v>-0.05194919999848935</v>
      </c>
      <c r="H28">
        <f t="shared" si="3"/>
        <v>-0.05194919999848935</v>
      </c>
      <c r="O28">
        <f t="shared" si="4"/>
        <v>-0.005233461946108577</v>
      </c>
      <c r="Q28" s="2">
        <f t="shared" si="5"/>
        <v>15977.7</v>
      </c>
    </row>
    <row r="29" spans="1:17" ht="12.75">
      <c r="A29" s="52" t="s">
        <v>61</v>
      </c>
      <c r="B29" s="54" t="s">
        <v>87</v>
      </c>
      <c r="C29" s="53">
        <v>31000.2</v>
      </c>
      <c r="D29" s="8"/>
      <c r="E29">
        <f t="shared" si="0"/>
        <v>61.986922471445986</v>
      </c>
      <c r="F29">
        <f t="shared" si="1"/>
        <v>62</v>
      </c>
      <c r="G29">
        <f t="shared" si="2"/>
        <v>-0.017285599999013357</v>
      </c>
      <c r="H29">
        <f t="shared" si="3"/>
        <v>-0.017285599999013357</v>
      </c>
      <c r="O29">
        <f t="shared" si="4"/>
        <v>-0.0052353329341572</v>
      </c>
      <c r="Q29" s="2">
        <f t="shared" si="5"/>
        <v>15981.7</v>
      </c>
    </row>
    <row r="30" spans="1:17" ht="12.75">
      <c r="A30" s="52" t="s">
        <v>61</v>
      </c>
      <c r="B30" s="54" t="s">
        <v>88</v>
      </c>
      <c r="C30" s="53">
        <v>31257.32</v>
      </c>
      <c r="D30" s="8"/>
      <c r="E30">
        <f t="shared" si="0"/>
        <v>256.51266308704595</v>
      </c>
      <c r="F30">
        <f t="shared" si="1"/>
        <v>256.5</v>
      </c>
      <c r="G30">
        <f t="shared" si="2"/>
        <v>0.01673780000055558</v>
      </c>
      <c r="H30">
        <f t="shared" si="3"/>
        <v>0.01673780000055558</v>
      </c>
      <c r="O30">
        <f t="shared" si="4"/>
        <v>-0.0053566353259762774</v>
      </c>
      <c r="Q30" s="2">
        <f t="shared" si="5"/>
        <v>16238.82</v>
      </c>
    </row>
    <row r="31" spans="1:17" ht="12.75">
      <c r="A31" s="52" t="s">
        <v>61</v>
      </c>
      <c r="B31" s="54" t="s">
        <v>88</v>
      </c>
      <c r="C31" s="53">
        <v>31265.27</v>
      </c>
      <c r="D31" s="8"/>
      <c r="E31">
        <f t="shared" si="0"/>
        <v>262.5272852008223</v>
      </c>
      <c r="F31">
        <f t="shared" si="1"/>
        <v>262.5</v>
      </c>
      <c r="G31">
        <f t="shared" si="2"/>
        <v>0.03606500000023516</v>
      </c>
      <c r="H31">
        <f t="shared" si="3"/>
        <v>0.03606500000023516</v>
      </c>
      <c r="O31">
        <f t="shared" si="4"/>
        <v>-0.005360377302073524</v>
      </c>
      <c r="Q31" s="2">
        <f t="shared" si="5"/>
        <v>16246.77</v>
      </c>
    </row>
    <row r="32" spans="1:17" ht="12.75">
      <c r="A32" s="52" t="s">
        <v>61</v>
      </c>
      <c r="B32" s="54" t="s">
        <v>87</v>
      </c>
      <c r="C32" s="53">
        <v>31292.32</v>
      </c>
      <c r="D32" s="8"/>
      <c r="E32">
        <f t="shared" si="0"/>
        <v>282.99213151247386</v>
      </c>
      <c r="F32">
        <f t="shared" si="1"/>
        <v>283</v>
      </c>
      <c r="G32">
        <f t="shared" si="2"/>
        <v>-0.010400399998616194</v>
      </c>
      <c r="H32">
        <f t="shared" si="3"/>
        <v>-0.010400399998616194</v>
      </c>
      <c r="O32">
        <f t="shared" si="4"/>
        <v>-0.0053731623870724495</v>
      </c>
      <c r="Q32" s="2">
        <f t="shared" si="5"/>
        <v>16273.82</v>
      </c>
    </row>
    <row r="33" spans="1:17" ht="12.75">
      <c r="A33" s="52" t="s">
        <v>61</v>
      </c>
      <c r="B33" s="54" t="s">
        <v>88</v>
      </c>
      <c r="C33" s="53">
        <v>31343.2</v>
      </c>
      <c r="D33" s="8"/>
      <c r="E33">
        <f t="shared" si="0"/>
        <v>321.48571304063955</v>
      </c>
      <c r="F33">
        <f t="shared" si="1"/>
        <v>321.5</v>
      </c>
      <c r="G33">
        <f t="shared" si="2"/>
        <v>-0.01888419999886537</v>
      </c>
      <c r="H33">
        <f t="shared" si="3"/>
        <v>-0.01888419999886537</v>
      </c>
      <c r="O33">
        <f t="shared" si="4"/>
        <v>-0.005397173400363115</v>
      </c>
      <c r="Q33" s="2">
        <f t="shared" si="5"/>
        <v>16324.7</v>
      </c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0"/>
  <sheetViews>
    <sheetView zoomScalePageLayoutView="0" workbookViewId="0" topLeftCell="A1">
      <selection activeCell="A11" sqref="A11:C22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6" t="s">
        <v>41</v>
      </c>
      <c r="I1" s="37" t="s">
        <v>42</v>
      </c>
      <c r="J1" s="38" t="s">
        <v>40</v>
      </c>
    </row>
    <row r="2" spans="9:10" ht="12.75">
      <c r="I2" s="39" t="s">
        <v>43</v>
      </c>
      <c r="J2" s="40" t="s">
        <v>39</v>
      </c>
    </row>
    <row r="3" spans="1:10" ht="12.75">
      <c r="A3" s="41" t="s">
        <v>44</v>
      </c>
      <c r="I3" s="39" t="s">
        <v>45</v>
      </c>
      <c r="J3" s="40" t="s">
        <v>37</v>
      </c>
    </row>
    <row r="4" spans="9:10" ht="12.75">
      <c r="I4" s="39" t="s">
        <v>46</v>
      </c>
      <c r="J4" s="40" t="s">
        <v>37</v>
      </c>
    </row>
    <row r="5" spans="9:10" ht="13.5" thickBot="1">
      <c r="I5" s="42" t="s">
        <v>47</v>
      </c>
      <c r="J5" s="43" t="s">
        <v>38</v>
      </c>
    </row>
    <row r="10" ht="13.5" thickBot="1"/>
    <row r="11" spans="1:16" ht="12.75" customHeight="1" thickBot="1">
      <c r="A11" s="8" t="str">
        <f aca="true" t="shared" si="0" ref="A11:A22">P11</f>
        <v> PZ 4.342 </v>
      </c>
      <c r="B11" s="3" t="str">
        <f aca="true" t="shared" si="1" ref="B11:B22">IF(H11=INT(H11),"I","II")</f>
        <v>I</v>
      </c>
      <c r="C11" s="8">
        <f aca="true" t="shared" si="2" ref="C11:C22">1*G11</f>
        <v>24321.375</v>
      </c>
      <c r="D11" s="10" t="str">
        <f aca="true" t="shared" si="3" ref="D11:D22">VLOOKUP(F11,I$1:J$5,2,FALSE)</f>
        <v>vis</v>
      </c>
      <c r="E11" s="44">
        <f>VLOOKUP(C11,A!C$21:E$973,3,FALSE)</f>
        <v>-4990.9198119988005</v>
      </c>
      <c r="F11" s="3" t="s">
        <v>47</v>
      </c>
      <c r="G11" s="10" t="str">
        <f aca="true" t="shared" si="4" ref="G11:G22">MID(I11,3,LEN(I11)-3)</f>
        <v>24321.375</v>
      </c>
      <c r="H11" s="8">
        <f aca="true" t="shared" si="5" ref="H11:H22">1*K11</f>
        <v>-4991</v>
      </c>
      <c r="I11" s="45" t="s">
        <v>48</v>
      </c>
      <c r="J11" s="46" t="s">
        <v>49</v>
      </c>
      <c r="K11" s="45">
        <v>-4991</v>
      </c>
      <c r="L11" s="45" t="s">
        <v>50</v>
      </c>
      <c r="M11" s="46" t="s">
        <v>51</v>
      </c>
      <c r="N11" s="46"/>
      <c r="O11" s="47" t="s">
        <v>52</v>
      </c>
      <c r="P11" s="47" t="s">
        <v>53</v>
      </c>
    </row>
    <row r="12" spans="1:16" ht="12.75" customHeight="1" thickBot="1">
      <c r="A12" s="8" t="str">
        <f t="shared" si="0"/>
        <v> PZ 4.342 </v>
      </c>
      <c r="B12" s="3" t="str">
        <f t="shared" si="1"/>
        <v>II</v>
      </c>
      <c r="C12" s="8">
        <f t="shared" si="2"/>
        <v>26928.299</v>
      </c>
      <c r="D12" s="10" t="str">
        <f t="shared" si="3"/>
        <v>vis</v>
      </c>
      <c r="E12" s="44">
        <f>VLOOKUP(C12,A!C$21:E$973,3,FALSE)</f>
        <v>-3018.63519069908</v>
      </c>
      <c r="F12" s="3" t="s">
        <v>47</v>
      </c>
      <c r="G12" s="10" t="str">
        <f t="shared" si="4"/>
        <v>26928.299</v>
      </c>
      <c r="H12" s="8">
        <f t="shared" si="5"/>
        <v>-3018.5</v>
      </c>
      <c r="I12" s="45" t="s">
        <v>54</v>
      </c>
      <c r="J12" s="46" t="s">
        <v>55</v>
      </c>
      <c r="K12" s="45">
        <v>-3018.5</v>
      </c>
      <c r="L12" s="45" t="s">
        <v>56</v>
      </c>
      <c r="M12" s="46" t="s">
        <v>51</v>
      </c>
      <c r="N12" s="46"/>
      <c r="O12" s="47" t="s">
        <v>52</v>
      </c>
      <c r="P12" s="47" t="s">
        <v>53</v>
      </c>
    </row>
    <row r="13" spans="1:16" ht="12.75" customHeight="1" thickBot="1">
      <c r="A13" s="8" t="str">
        <f t="shared" si="0"/>
        <v> IODE 1.61 </v>
      </c>
      <c r="B13" s="3" t="str">
        <f t="shared" si="1"/>
        <v>I</v>
      </c>
      <c r="C13" s="8">
        <f t="shared" si="2"/>
        <v>30918.26</v>
      </c>
      <c r="D13" s="10" t="str">
        <f t="shared" si="3"/>
        <v>vis</v>
      </c>
      <c r="E13" s="44">
        <f>VLOOKUP(C13,A!C$21:E$973,3,FALSE)</f>
        <v>-0.005295893686164499</v>
      </c>
      <c r="F13" s="3" t="s">
        <v>47</v>
      </c>
      <c r="G13" s="10" t="str">
        <f t="shared" si="4"/>
        <v>30918.26</v>
      </c>
      <c r="H13" s="8">
        <f t="shared" si="5"/>
        <v>0</v>
      </c>
      <c r="I13" s="45" t="s">
        <v>57</v>
      </c>
      <c r="J13" s="46" t="s">
        <v>58</v>
      </c>
      <c r="K13" s="45">
        <v>0</v>
      </c>
      <c r="L13" s="45" t="s">
        <v>59</v>
      </c>
      <c r="M13" s="46" t="s">
        <v>51</v>
      </c>
      <c r="N13" s="46"/>
      <c r="O13" s="47" t="s">
        <v>60</v>
      </c>
      <c r="P13" s="47" t="s">
        <v>61</v>
      </c>
    </row>
    <row r="14" spans="1:16" ht="12.75" customHeight="1" thickBot="1">
      <c r="A14" s="8" t="str">
        <f t="shared" si="0"/>
        <v> IODE 1.61 </v>
      </c>
      <c r="B14" s="3" t="str">
        <f t="shared" si="1"/>
        <v>I</v>
      </c>
      <c r="C14" s="8">
        <f t="shared" si="2"/>
        <v>30926.2</v>
      </c>
      <c r="D14" s="10" t="str">
        <f t="shared" si="3"/>
        <v>vis</v>
      </c>
      <c r="E14" s="44">
        <f>VLOOKUP(C14,A!C$21:E$973,3,FALSE)</f>
        <v>6.001760657684102</v>
      </c>
      <c r="F14" s="3" t="s">
        <v>47</v>
      </c>
      <c r="G14" s="10" t="str">
        <f t="shared" si="4"/>
        <v>30926.20</v>
      </c>
      <c r="H14" s="8">
        <f t="shared" si="5"/>
        <v>6</v>
      </c>
      <c r="I14" s="45" t="s">
        <v>62</v>
      </c>
      <c r="J14" s="46" t="s">
        <v>63</v>
      </c>
      <c r="K14" s="45">
        <v>6</v>
      </c>
      <c r="L14" s="45" t="s">
        <v>64</v>
      </c>
      <c r="M14" s="46" t="s">
        <v>51</v>
      </c>
      <c r="N14" s="46"/>
      <c r="O14" s="47" t="s">
        <v>60</v>
      </c>
      <c r="P14" s="47" t="s">
        <v>61</v>
      </c>
    </row>
    <row r="15" spans="1:16" ht="12.75" customHeight="1" thickBot="1">
      <c r="A15" s="8" t="str">
        <f t="shared" si="0"/>
        <v> IODE 1.61 </v>
      </c>
      <c r="B15" s="3" t="str">
        <f t="shared" si="1"/>
        <v>II</v>
      </c>
      <c r="C15" s="8">
        <f t="shared" si="2"/>
        <v>30961.22</v>
      </c>
      <c r="D15" s="10" t="str">
        <f t="shared" si="3"/>
        <v>vis</v>
      </c>
      <c r="E15" s="44">
        <f>VLOOKUP(C15,A!C$21:E$973,3,FALSE)</f>
        <v>32.49636020792688</v>
      </c>
      <c r="F15" s="3" t="s">
        <v>47</v>
      </c>
      <c r="G15" s="10" t="str">
        <f t="shared" si="4"/>
        <v>30961.22</v>
      </c>
      <c r="H15" s="8">
        <f t="shared" si="5"/>
        <v>32.5</v>
      </c>
      <c r="I15" s="45" t="s">
        <v>65</v>
      </c>
      <c r="J15" s="46" t="s">
        <v>66</v>
      </c>
      <c r="K15" s="45">
        <v>32.5</v>
      </c>
      <c r="L15" s="45" t="s">
        <v>67</v>
      </c>
      <c r="M15" s="46" t="s">
        <v>51</v>
      </c>
      <c r="N15" s="46"/>
      <c r="O15" s="47" t="s">
        <v>60</v>
      </c>
      <c r="P15" s="47" t="s">
        <v>61</v>
      </c>
    </row>
    <row r="16" spans="1:16" ht="12.75" customHeight="1" thickBot="1">
      <c r="A16" s="8" t="str">
        <f t="shared" si="0"/>
        <v> IODE 1.61 </v>
      </c>
      <c r="B16" s="3" t="str">
        <f t="shared" si="1"/>
        <v>II</v>
      </c>
      <c r="C16" s="8">
        <f t="shared" si="2"/>
        <v>30969.22</v>
      </c>
      <c r="D16" s="10" t="str">
        <f t="shared" si="3"/>
        <v>vis</v>
      </c>
      <c r="E16" s="44">
        <f>VLOOKUP(C16,A!C$21:E$973,3,FALSE)</f>
        <v>38.548810133738975</v>
      </c>
      <c r="F16" s="3" t="s">
        <v>47</v>
      </c>
      <c r="G16" s="10" t="str">
        <f t="shared" si="4"/>
        <v>30969.22</v>
      </c>
      <c r="H16" s="8">
        <f t="shared" si="5"/>
        <v>38.5</v>
      </c>
      <c r="I16" s="45" t="s">
        <v>68</v>
      </c>
      <c r="J16" s="46" t="s">
        <v>69</v>
      </c>
      <c r="K16" s="45">
        <v>38.5</v>
      </c>
      <c r="L16" s="45" t="s">
        <v>70</v>
      </c>
      <c r="M16" s="46" t="s">
        <v>51</v>
      </c>
      <c r="N16" s="46"/>
      <c r="O16" s="47" t="s">
        <v>60</v>
      </c>
      <c r="P16" s="47" t="s">
        <v>61</v>
      </c>
    </row>
    <row r="17" spans="1:16" ht="12.75" customHeight="1" thickBot="1">
      <c r="A17" s="8" t="str">
        <f t="shared" si="0"/>
        <v> IODE 1.61 </v>
      </c>
      <c r="B17" s="3" t="str">
        <f t="shared" si="1"/>
        <v>I</v>
      </c>
      <c r="C17" s="8">
        <f t="shared" si="2"/>
        <v>30996.2</v>
      </c>
      <c r="D17" s="10" t="str">
        <f t="shared" si="3"/>
        <v>vis</v>
      </c>
      <c r="E17" s="44">
        <f>VLOOKUP(C17,A!C$21:E$973,3,FALSE)</f>
        <v>58.96069750853994</v>
      </c>
      <c r="F17" s="3" t="s">
        <v>47</v>
      </c>
      <c r="G17" s="10" t="str">
        <f t="shared" si="4"/>
        <v>30996.20</v>
      </c>
      <c r="H17" s="8">
        <f t="shared" si="5"/>
        <v>59</v>
      </c>
      <c r="I17" s="45" t="s">
        <v>71</v>
      </c>
      <c r="J17" s="46" t="s">
        <v>72</v>
      </c>
      <c r="K17" s="45">
        <v>59</v>
      </c>
      <c r="L17" s="45" t="s">
        <v>73</v>
      </c>
      <c r="M17" s="46" t="s">
        <v>51</v>
      </c>
      <c r="N17" s="46"/>
      <c r="O17" s="47" t="s">
        <v>60</v>
      </c>
      <c r="P17" s="47" t="s">
        <v>61</v>
      </c>
    </row>
    <row r="18" spans="1:16" ht="12.75" customHeight="1" thickBot="1">
      <c r="A18" s="8" t="str">
        <f t="shared" si="0"/>
        <v> IODE 1.61 </v>
      </c>
      <c r="B18" s="3" t="str">
        <f t="shared" si="1"/>
        <v>I</v>
      </c>
      <c r="C18" s="8">
        <f t="shared" si="2"/>
        <v>31000.2</v>
      </c>
      <c r="D18" s="10" t="str">
        <f t="shared" si="3"/>
        <v>vis</v>
      </c>
      <c r="E18" s="44">
        <f>VLOOKUP(C18,A!C$21:E$973,3,FALSE)</f>
        <v>61.986922471445986</v>
      </c>
      <c r="F18" s="3" t="s">
        <v>47</v>
      </c>
      <c r="G18" s="10" t="str">
        <f t="shared" si="4"/>
        <v>31000.20</v>
      </c>
      <c r="H18" s="8">
        <f t="shared" si="5"/>
        <v>62</v>
      </c>
      <c r="I18" s="45" t="s">
        <v>74</v>
      </c>
      <c r="J18" s="46" t="s">
        <v>75</v>
      </c>
      <c r="K18" s="45">
        <v>62</v>
      </c>
      <c r="L18" s="45" t="s">
        <v>76</v>
      </c>
      <c r="M18" s="46" t="s">
        <v>51</v>
      </c>
      <c r="N18" s="46"/>
      <c r="O18" s="47" t="s">
        <v>60</v>
      </c>
      <c r="P18" s="47" t="s">
        <v>61</v>
      </c>
    </row>
    <row r="19" spans="1:16" ht="12.75" customHeight="1" thickBot="1">
      <c r="A19" s="8" t="str">
        <f t="shared" si="0"/>
        <v> IODE 1.61 </v>
      </c>
      <c r="B19" s="3" t="str">
        <f t="shared" si="1"/>
        <v>II</v>
      </c>
      <c r="C19" s="8">
        <f t="shared" si="2"/>
        <v>31257.32</v>
      </c>
      <c r="D19" s="10" t="str">
        <f t="shared" si="3"/>
        <v>vis</v>
      </c>
      <c r="E19" s="44">
        <f>VLOOKUP(C19,A!C$21:E$973,3,FALSE)</f>
        <v>256.51266308704595</v>
      </c>
      <c r="F19" s="3" t="s">
        <v>47</v>
      </c>
      <c r="G19" s="10" t="str">
        <f t="shared" si="4"/>
        <v>31257.32</v>
      </c>
      <c r="H19" s="8">
        <f t="shared" si="5"/>
        <v>256.5</v>
      </c>
      <c r="I19" s="45" t="s">
        <v>77</v>
      </c>
      <c r="J19" s="46" t="s">
        <v>78</v>
      </c>
      <c r="K19" s="45">
        <v>256.5</v>
      </c>
      <c r="L19" s="45" t="s">
        <v>79</v>
      </c>
      <c r="M19" s="46" t="s">
        <v>51</v>
      </c>
      <c r="N19" s="46"/>
      <c r="O19" s="47" t="s">
        <v>60</v>
      </c>
      <c r="P19" s="47" t="s">
        <v>61</v>
      </c>
    </row>
    <row r="20" spans="1:16" ht="12.75" customHeight="1" thickBot="1">
      <c r="A20" s="8" t="str">
        <f t="shared" si="0"/>
        <v> IODE 1.61 </v>
      </c>
      <c r="B20" s="3" t="str">
        <f t="shared" si="1"/>
        <v>II</v>
      </c>
      <c r="C20" s="8">
        <f t="shared" si="2"/>
        <v>31265.27</v>
      </c>
      <c r="D20" s="10" t="str">
        <f t="shared" si="3"/>
        <v>vis</v>
      </c>
      <c r="E20" s="44">
        <f>VLOOKUP(C20,A!C$21:E$973,3,FALSE)</f>
        <v>262.5272852008223</v>
      </c>
      <c r="F20" s="3" t="s">
        <v>47</v>
      </c>
      <c r="G20" s="10" t="str">
        <f t="shared" si="4"/>
        <v>31265.27</v>
      </c>
      <c r="H20" s="8">
        <f t="shared" si="5"/>
        <v>262.5</v>
      </c>
      <c r="I20" s="45" t="s">
        <v>80</v>
      </c>
      <c r="J20" s="46" t="s">
        <v>81</v>
      </c>
      <c r="K20" s="45">
        <v>262.5</v>
      </c>
      <c r="L20" s="45" t="s">
        <v>82</v>
      </c>
      <c r="M20" s="46" t="s">
        <v>51</v>
      </c>
      <c r="N20" s="46"/>
      <c r="O20" s="47" t="s">
        <v>60</v>
      </c>
      <c r="P20" s="47" t="s">
        <v>61</v>
      </c>
    </row>
    <row r="21" spans="1:16" ht="12.75" customHeight="1" thickBot="1">
      <c r="A21" s="8" t="str">
        <f t="shared" si="0"/>
        <v> IODE 1.61 </v>
      </c>
      <c r="B21" s="3" t="str">
        <f t="shared" si="1"/>
        <v>I</v>
      </c>
      <c r="C21" s="8">
        <f t="shared" si="2"/>
        <v>31292.32</v>
      </c>
      <c r="D21" s="10" t="str">
        <f t="shared" si="3"/>
        <v>vis</v>
      </c>
      <c r="E21" s="44">
        <f>VLOOKUP(C21,A!C$21:E$973,3,FALSE)</f>
        <v>282.99213151247386</v>
      </c>
      <c r="F21" s="3" t="s">
        <v>47</v>
      </c>
      <c r="G21" s="10" t="str">
        <f t="shared" si="4"/>
        <v>31292.32</v>
      </c>
      <c r="H21" s="8">
        <f t="shared" si="5"/>
        <v>283</v>
      </c>
      <c r="I21" s="45" t="s">
        <v>83</v>
      </c>
      <c r="J21" s="46" t="s">
        <v>84</v>
      </c>
      <c r="K21" s="45">
        <v>283</v>
      </c>
      <c r="L21" s="45" t="s">
        <v>59</v>
      </c>
      <c r="M21" s="46" t="s">
        <v>51</v>
      </c>
      <c r="N21" s="46"/>
      <c r="O21" s="47" t="s">
        <v>60</v>
      </c>
      <c r="P21" s="47" t="s">
        <v>61</v>
      </c>
    </row>
    <row r="22" spans="1:16" ht="12.75" customHeight="1" thickBot="1">
      <c r="A22" s="8" t="str">
        <f t="shared" si="0"/>
        <v> IODE 1.61 </v>
      </c>
      <c r="B22" s="3" t="str">
        <f t="shared" si="1"/>
        <v>II</v>
      </c>
      <c r="C22" s="8">
        <f t="shared" si="2"/>
        <v>31343.2</v>
      </c>
      <c r="D22" s="10" t="str">
        <f t="shared" si="3"/>
        <v>vis</v>
      </c>
      <c r="E22" s="44">
        <f>VLOOKUP(C22,A!C$21:E$973,3,FALSE)</f>
        <v>321.48571304063955</v>
      </c>
      <c r="F22" s="3" t="s">
        <v>47</v>
      </c>
      <c r="G22" s="10" t="str">
        <f t="shared" si="4"/>
        <v>31343.20</v>
      </c>
      <c r="H22" s="8">
        <f t="shared" si="5"/>
        <v>321.5</v>
      </c>
      <c r="I22" s="45" t="s">
        <v>85</v>
      </c>
      <c r="J22" s="46" t="s">
        <v>86</v>
      </c>
      <c r="K22" s="45">
        <v>321.5</v>
      </c>
      <c r="L22" s="45" t="s">
        <v>76</v>
      </c>
      <c r="M22" s="46" t="s">
        <v>51</v>
      </c>
      <c r="N22" s="46"/>
      <c r="O22" s="47" t="s">
        <v>60</v>
      </c>
      <c r="P22" s="47" t="s">
        <v>61</v>
      </c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