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<sst xmlns="http://schemas.openxmlformats.org/spreadsheetml/2006/main" count="58" uniqueCount="49">
  <si>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V0495 Sct / GSC 5697-2736  / NSV 11381</t>
  </si>
  <si>
    <t>G5697-2736_Sct.xls</t>
  </si>
  <si>
    <t>EA:</t>
  </si>
  <si>
    <t>IBVS 5532 Eph.</t>
  </si>
  <si>
    <t>IBVS 5532</t>
  </si>
  <si>
    <t>Sct</t>
  </si>
  <si>
    <t>System Type:</t>
  </si>
  <si>
    <t>--- Working ----</t>
  </si>
  <si>
    <t>Epoch =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</si>
  <si>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</si>
  <si>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</si>
  <si>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</si>
  <si>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</si>
  <si>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</si>
  <si>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</si>
  <si>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</si>
  <si>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</si>
  <si>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</si>
  <si>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</si>
  <si>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JD today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</si>
  <si>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</si>
  <si>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</si>
  <si>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</si>
  <si>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</si>
  <si>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</si>
  <si>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</si>
  <si>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</si>
  <si>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</si>
  <si>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</si>
  <si>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</si>
  <si>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</si>
  <si>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</si>
  <si>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</si>
  <si>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</si>
  <si>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IBVS</t>
  </si>
  <si>
    <t>S2</t>
  </si>
  <si>
    <t>S3</t>
  </si>
  <si>
    <t>S4</t>
  </si>
  <si>
    <t>S5</t>
  </si>
  <si>
    <t>S6</t>
  </si>
  <si>
    <t>Misc</t>
  </si>
  <si>
    <t>Lin Fit</t>
  </si>
  <si>
    <t>Q. Fit</t>
  </si>
  <si>
    <t>Date</t>
  </si>
  <si>
    <t>VSB 069</t>
  </si>
  <si>
    <t>I</t>
  </si>
  <si>
    <t>Ic</t>
  </si>
  <si>
    <t>B</t>
  </si>
  <si>
    <t>U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</si>
</sst>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7"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Arial Unicode MS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5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13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  <xf numFmtId="167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775"/>
          <c:w val="0.90775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A!$H$21:$H$24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A!$I$21:$I$24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A!$J$21:$J$24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A!$K$21:$K$24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A!$L$21:$L$24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A!$M$21:$M$24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A!$N$21:$N$24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A!$F$21:$F$24</c:f>
              <c:numCache/>
            </c:numRef>
          </c:xVal>
          <c:yVal>
            <c:numRef>
              <c:f>A!$O$21:$O$24</c:f>
              <c:numCache/>
            </c:numRef>
          </c:yVal>
          <c:smooth val="0"/>
        </c:ser>
        <c:axId val="20381719"/>
        <c:axId val="49217744"/>
      </c:scatterChart>
      <c:valAx>
        <c:axId val="2038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17744"/>
        <c:crossesAt val="0"/>
        <c:crossBetween val="midCat"/>
        <c:dispUnits/>
      </c:valAx>
      <c:valAx>
        <c:axId val="49217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171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9"/>
          <c:y val="0.926"/>
          <c:w val="0.637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4103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5.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12" ht="20.25">
      <c r="A1" s="2" t="s">
        <v>0</v>
      </c>
      <c r="E1" s="3"/>
      <c r="F1" s="4" t="s">
        <v>1</v>
      </c>
      <c r="G1" s="5" t="s">
        <v>2</v>
      </c>
      <c r="H1" s="6" t="s">
        <v>3</v>
      </c>
      <c r="I1" s="7">
        <v>52922.518</v>
      </c>
      <c r="J1" s="7">
        <v>2.63743</v>
      </c>
      <c r="K1" s="6" t="s">
        <v>4</v>
      </c>
      <c r="L1" s="8" t="s">
        <v>5</v>
      </c>
    </row>
    <row r="2" spans="1:4" ht="12.75">
      <c r="A2" s="1" t="s">
        <v>6</v>
      </c>
      <c r="B2" s="1" t="s">
        <v>2</v>
      </c>
      <c r="C2" s="9" t="s">
        <v>5</v>
      </c>
      <c r="D2" s="1" t="s">
        <v>1</v>
      </c>
    </row>
    <row r="4" spans="1:4" ht="12.75">
      <c r="A4" s="10" t="s">
        <v>3</v>
      </c>
      <c r="C4" s="11">
        <v>52922.518</v>
      </c>
      <c r="D4" s="12">
        <v>2.63743</v>
      </c>
    </row>
    <row r="6" ht="12.75">
      <c r="A6" s="13" t="s">
        <v>7</v>
      </c>
    </row>
    <row r="7" spans="1:3" ht="12.75">
      <c r="A7" s="1" t="s">
        <v>8</v>
      </c>
      <c r="C7" s="1">
        <f>+C4</f>
        <v>52922.518</v>
      </c>
    </row>
    <row r="8" spans="1:3" ht="12.75">
      <c r="A8" s="1" t="s">
        <v>9</v>
      </c>
      <c r="C8" s="1">
        <f>+D4</f>
        <v>2.63743</v>
      </c>
    </row>
    <row r="9" spans="1:5" ht="12.75">
      <c r="A9" s="14" t="s">
        <v>10</v>
      </c>
      <c r="B9"/>
      <c r="C9" s="15">
        <v>-9.5</v>
      </c>
      <c r="D9" t="s">
        <v>11</v>
      </c>
      <c r="E9"/>
    </row>
    <row r="10" spans="1:5" ht="12.75">
      <c r="A10"/>
      <c r="B10"/>
      <c r="C10" s="16" t="s">
        <v>12</v>
      </c>
      <c r="D10" s="16" t="s">
        <v>13</v>
      </c>
      <c r="E10"/>
    </row>
    <row r="11" spans="1:7" ht="12.75">
      <c r="A11" t="s">
        <v>14</v>
      </c>
      <c r="B11"/>
      <c r="C11" s="17">
        <f ca="1">INTERCEPT(INDIRECT($G$11):G992,INDIRECT($F$11):F992)</f>
        <v>0</v>
      </c>
      <c r="D11" s="18"/>
      <c r="E11"/>
      <c r="F11" s="19" t="str">
        <f>"F"&amp;E19</f>
        <v>F21</v>
      </c>
      <c r="G11" s="20" t="str">
        <f>"G"&amp;E19</f>
        <v>G21</v>
      </c>
    </row>
    <row r="12" spans="1:5" ht="12.75">
      <c r="A12" t="s">
        <v>15</v>
      </c>
      <c r="B12"/>
      <c r="C12" s="17">
        <f ca="1">SLOPE(INDIRECT($G$11):G992,INDIRECT($F$11):F992)</f>
        <v>-4.5959772627551345E-05</v>
      </c>
      <c r="D12" s="18"/>
      <c r="E12"/>
    </row>
    <row r="13" spans="1:5" ht="12.75">
      <c r="A13" t="s">
        <v>16</v>
      </c>
      <c r="B13"/>
      <c r="C13" s="18" t="s">
        <v>17</v>
      </c>
      <c r="D13" s="18"/>
      <c r="E13"/>
    </row>
    <row r="14" spans="1:5" ht="12.75">
      <c r="A14"/>
      <c r="B14"/>
      <c r="C14"/>
      <c r="D14"/>
      <c r="E14"/>
    </row>
    <row r="15" spans="1:5" ht="12.75">
      <c r="A15" s="21" t="s">
        <v>18</v>
      </c>
      <c r="B15"/>
      <c r="C15" s="22">
        <f>(C7+C11)+(C8+C12)*INT(MAX(F21:F3533))</f>
        <v>58954.215299999996</v>
      </c>
      <c r="D15" s="23" t="s">
        <v>19</v>
      </c>
      <c r="E15" s="17">
        <f ca="1">TODAY()+15018.5-B9/24</f>
        <v>59906.5</v>
      </c>
    </row>
    <row r="16" spans="1:5" ht="12.75">
      <c r="A16" s="21" t="s">
        <v>20</v>
      </c>
      <c r="B16"/>
      <c r="C16" s="22">
        <f>+C8+C12</f>
        <v>2.6373840402273725</v>
      </c>
      <c r="D16" s="23" t="s">
        <v>21</v>
      </c>
      <c r="E16" s="17">
        <f>ROUND(2*(E15-C15)/C16,0)/2+1</f>
        <v>362</v>
      </c>
    </row>
    <row r="17" spans="1:5" ht="12.75">
      <c r="A17" s="23" t="s">
        <v>22</v>
      </c>
      <c r="B17"/>
      <c r="C17">
        <f>COUNT(C21:C2191)</f>
        <v>4</v>
      </c>
      <c r="D17" s="23" t="s">
        <v>23</v>
      </c>
      <c r="E17" s="24">
        <f>+C15+C16*E16-15018.5-C9/24</f>
        <v>44890.84415589564</v>
      </c>
    </row>
    <row r="18" spans="1:5" ht="12.75">
      <c r="A18" s="21" t="s">
        <v>24</v>
      </c>
      <c r="B18"/>
      <c r="C18" s="25">
        <f>+C15</f>
        <v>58954.215299999996</v>
      </c>
      <c r="D18" s="26">
        <f>+C16</f>
        <v>2.6373840402273725</v>
      </c>
      <c r="E18" s="27" t="s">
        <v>25</v>
      </c>
    </row>
    <row r="19" spans="1:5" ht="12.75">
      <c r="A19" s="28" t="s">
        <v>26</v>
      </c>
      <c r="E19" s="29">
        <v>21</v>
      </c>
    </row>
    <row r="20" spans="1:17" ht="12.75">
      <c r="A20" s="16" t="s">
        <v>27</v>
      </c>
      <c r="B20" s="16" t="s">
        <v>28</v>
      </c>
      <c r="C20" s="16" t="s">
        <v>29</v>
      </c>
      <c r="D20" s="16" t="s">
        <v>30</v>
      </c>
      <c r="E20" s="16" t="s">
        <v>31</v>
      </c>
      <c r="F20" s="16" t="s">
        <v>32</v>
      </c>
      <c r="G20" s="16" t="s">
        <v>33</v>
      </c>
      <c r="H20" s="30" t="s">
        <v>34</v>
      </c>
      <c r="I20" s="30" t="s">
        <v>35</v>
      </c>
      <c r="J20" s="30" t="s">
        <v>36</v>
      </c>
      <c r="K20" s="30" t="s">
        <v>37</v>
      </c>
      <c r="L20" s="30" t="s">
        <v>38</v>
      </c>
      <c r="M20" s="30" t="s">
        <v>39</v>
      </c>
      <c r="N20" s="30" t="s">
        <v>40</v>
      </c>
      <c r="O20" s="30" t="s">
        <v>41</v>
      </c>
      <c r="P20" s="30" t="s">
        <v>42</v>
      </c>
      <c r="Q20" s="16" t="s">
        <v>43</v>
      </c>
    </row>
    <row r="21" spans="1:17" ht="12.75">
      <c r="A21" s="1" t="str">
        <f>$K$1</f>
        <v>IBVS 5532</v>
      </c>
      <c r="C21" s="9">
        <f>+$C$4</f>
        <v>52922.518</v>
      </c>
      <c r="D21" s="9" t="s">
        <v>17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0</v>
      </c>
      <c r="Q21" s="34">
        <f>+C21-15018.5</f>
        <v>37904.018</v>
      </c>
    </row>
    <row r="22" spans="1:18" ht="12.75">
      <c r="A22" s="31" t="s">
        <v>44</v>
      </c>
      <c r="B22" s="32" t="s">
        <v>45</v>
      </c>
      <c r="C22" s="33">
        <v>58954.2114</v>
      </c>
      <c r="D22" s="33" t="s">
        <v>46</v>
      </c>
      <c r="E22" s="1">
        <f>+(C22-C$7)/C$8</f>
        <v>2286.9586680973534</v>
      </c>
      <c r="F22" s="1">
        <f>ROUND(2*E22,0)/2</f>
        <v>2287</v>
      </c>
      <c r="G22" s="1">
        <f>+C22-(C$7+F22*C$8)</f>
        <v>-0.10901000000012573</v>
      </c>
      <c r="H22" s="1">
        <f>+G22</f>
        <v>-0.10901000000012573</v>
      </c>
      <c r="O22" s="1">
        <f>+C$11+C$12*$F22</f>
        <v>-0.10510999999920993</v>
      </c>
      <c r="Q22" s="34">
        <f>+C22-15018.5</f>
        <v>43935.7114</v>
      </c>
      <c r="R22" s="1">
        <f>IF(ABS(C22-C21)&lt;0.00001,1,"")</f>
      </c>
    </row>
    <row r="23" spans="1:17" ht="12.75">
      <c r="A23" s="31" t="s">
        <v>44</v>
      </c>
      <c r="B23" s="32" t="s">
        <v>45</v>
      </c>
      <c r="C23" s="33">
        <v>58954.2119</v>
      </c>
      <c r="D23" s="33" t="s">
        <v>47</v>
      </c>
      <c r="E23" s="1">
        <f>+(C23-C$7)/C$8</f>
        <v>2286.9588576758456</v>
      </c>
      <c r="F23" s="1">
        <f>ROUND(2*E23,0)/2</f>
        <v>2287</v>
      </c>
      <c r="G23" s="1">
        <f>+C23-(C$7+F23*C$8)</f>
        <v>-0.10850999999820488</v>
      </c>
      <c r="H23" s="1">
        <f>+G23</f>
        <v>-0.10850999999820488</v>
      </c>
      <c r="O23" s="1">
        <f>+C$11+C$12*$F23</f>
        <v>-0.10510999999920993</v>
      </c>
      <c r="Q23" s="34">
        <f>+C23-15018.5</f>
        <v>43935.7119</v>
      </c>
    </row>
    <row r="24" spans="1:17" ht="12.75">
      <c r="A24" s="31" t="s">
        <v>44</v>
      </c>
      <c r="B24" s="32" t="s">
        <v>45</v>
      </c>
      <c r="C24" s="33">
        <v>58954.2226</v>
      </c>
      <c r="D24" s="33" t="s">
        <v>48</v>
      </c>
      <c r="E24" s="1">
        <f>+(C24-C$7)/C$8</f>
        <v>2286.9629146555562</v>
      </c>
      <c r="F24" s="1">
        <f>ROUND(2*E24,0)/2</f>
        <v>2287</v>
      </c>
      <c r="G24" s="1">
        <f>+C24-(C$7+F24*C$8)</f>
        <v>-0.09780999999929918</v>
      </c>
      <c r="H24" s="1">
        <f>+G24</f>
        <v>-0.09780999999929918</v>
      </c>
      <c r="O24" s="1">
        <f>+C$11+C$12*$F24</f>
        <v>-0.10510999999920993</v>
      </c>
      <c r="Q24" s="34">
        <f>+C24-15018.5</f>
        <v>43935.7226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2022-11-23T05:58:47Z</dcterms:modified>
  <cp:category/>
  <cp:version/>
  <cp:contentType/>
  <cp:contentStatus/>
</cp:coreProperties>
</file>