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<sst xmlns="http://schemas.openxmlformats.org/spreadsheetml/2006/main" count="52" uniqueCount="47">
  <si>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JAVSO..44…26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</si>
  <si>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</si>
  <si>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</si>
  <si>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</si>
  <si>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</si>
  <si>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</si>
  <si>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</si>
  <si>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</si>
  <si>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</si>
  <si>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</si>
  <si>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</si>
  <si>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</si>
  <si>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</si>
  <si>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</si>
  <si>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</si>
  <si>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</si>
  <si>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</si>
  <si>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</si>
  <si>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</si>
  <si>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</si>
  <si>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</si>
  <si>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</si>
  <si>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</si>
  <si>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</si>
  <si>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</si>
  <si>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</si>
  <si>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</si>
  <si>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</si>
  <si>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</si>
  <si>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</si>
  <si>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</si>
  <si>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</si>
  <si>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</t>
  </si>
  <si>
    <t>IBVS 5507</t>
  </si>
  <si>
    <t>I</t>
  </si>
  <si>
    <t>II</t>
  </si>
  <si>
    <t># of data points:</t>
  </si>
  <si>
    <t>V1071 Sgr / gsc 6295-0361</t>
  </si>
  <si>
    <t>My time zone &gt;&gt;&gt;&gt;&gt;</t>
  </si>
  <si>
    <t>(PST=8, PDT=MDT=7, MDT=CST=6, etc.)</t>
  </si>
  <si>
    <t>JD today</t>
  </si>
  <si>
    <t>New Cycle</t>
  </si>
  <si>
    <t>Next ToM</t>
  </si>
  <si>
    <t>Add cycle</t>
  </si>
  <si>
    <t>Old Cycle</t>
  </si>
  <si>
    <t>Start of linear fit &gt;&gt;&gt;&gt;&gt;&gt;&gt;&gt;&gt;&gt;&gt;&gt;&gt;&gt;&gt;&gt;&gt;&gt;&gt;&gt;&gt;</t>
  </si>
  <si>
    <t>vis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</si>
</sst>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28" fillId="0" borderId="0" xfId="61" applyFont="1" applyAlignment="1">
      <alignment horizontal="left" vertical="center"/>
      <protection/>
    </xf>
    <xf numFmtId="0" fontId="28" fillId="0" borderId="0" xfId="61" applyFont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V1071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</c:v>
                  </c:pt>
                  <c:pt idx="2">
                    <c:v>0.0018</c:v>
                  </c:pt>
                  <c:pt idx="3">
                    <c:v>0.0016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5642063"/>
        <c:axId val="53907656"/>
      </c:scatterChart>
      <c:valAx>
        <c:axId val="65642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7656"/>
        <c:crosses val="autoZero"/>
        <c:crossBetween val="midCat"/>
        <c:dispUnits/>
      </c:valAx>
      <c:valAx>
        <c:axId val="5390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20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3075"/>
          <c:w val="0.687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16</xdr:col>
      <xdr:colOff>333375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33900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28</v>
      </c>
      <c r="B2" t="s">
        <v>32</v>
      </c>
    </row>
    <row r="4" spans="1:4" ht="14.25" thickBot="1" thickTop="1">
      <c r="A4" s="6" t="s">
        <v>4</v>
      </c>
      <c r="C4" s="3">
        <v>27360.267</v>
      </c>
      <c r="D4" s="4">
        <v>0.6780498</v>
      </c>
    </row>
    <row r="5" spans="1:4" ht="13.5" thickTop="1">
      <c r="A5" s="14" t="s">
        <v>38</v>
      </c>
      <c r="B5" s="15"/>
      <c r="C5" s="16">
        <v>-9.5</v>
      </c>
      <c r="D5" s="15" t="s">
        <v>39</v>
      </c>
    </row>
    <row r="6" ht="12.75">
      <c r="A6" s="6" t="s">
        <v>5</v>
      </c>
    </row>
    <row r="7" spans="1:3" ht="12.75">
      <c r="A7" t="s">
        <v>6</v>
      </c>
      <c r="C7">
        <f>+C4</f>
        <v>27360.267</v>
      </c>
    </row>
    <row r="8" spans="1:3" ht="12.75">
      <c r="A8" t="s">
        <v>7</v>
      </c>
      <c r="C8">
        <f>+D4</f>
        <v>0.6780498</v>
      </c>
    </row>
    <row r="9" spans="1:4" ht="12.75">
      <c r="A9" s="30" t="s">
        <v>45</v>
      </c>
      <c r="B9" s="31">
        <v>21</v>
      </c>
      <c r="C9" s="28" t="str">
        <f>"F"&amp;B9</f>
        <v>F21</v>
      </c>
      <c r="D9" s="29" t="str">
        <f>"G"&amp;B9</f>
        <v>G21</v>
      </c>
    </row>
    <row r="10" spans="1:5" ht="13.5" thickBot="1">
      <c r="A10" s="15"/>
      <c r="B10" s="15"/>
      <c r="C10" s="5" t="s">
        <v>24</v>
      </c>
      <c r="D10" s="5" t="s">
        <v>25</v>
      </c>
      <c r="E10" s="15"/>
    </row>
    <row r="11" spans="1:5" ht="12.75">
      <c r="A11" s="15" t="s">
        <v>20</v>
      </c>
      <c r="B11" s="15"/>
      <c r="C11" s="27">
        <f ca="1">INTERCEPT(INDIRECT($D$9):G992,INDIRECT($C$9):F992)</f>
        <v>-0.001623311876201114</v>
      </c>
      <c r="D11" s="17"/>
      <c r="E11" s="15"/>
    </row>
    <row r="12" spans="1:5" ht="12.75">
      <c r="A12" s="15" t="s">
        <v>21</v>
      </c>
      <c r="B12" s="15"/>
      <c r="C12" s="27">
        <f ca="1">SLOPE(INDIRECT($D$9):G992,INDIRECT($C$9):F992)</f>
        <v>-2.1731398887573074E-06</v>
      </c>
      <c r="D12" s="17"/>
      <c r="E12" s="15"/>
    </row>
    <row r="13" spans="1:3" ht="12.75">
      <c r="A13" s="15" t="s">
        <v>23</v>
      </c>
      <c r="B13" s="15"/>
      <c r="C13" s="17" t="s">
        <v>18</v>
      </c>
    </row>
    <row r="14" spans="1:3" ht="12.75">
      <c r="A14" s="15"/>
      <c r="B14" s="15"/>
      <c r="C14" s="15"/>
    </row>
    <row r="15" spans="1:6" ht="12.75">
      <c r="A15" s="18" t="s">
        <v>22</v>
      </c>
      <c r="B15" s="15"/>
      <c r="C15" s="19">
        <f>(C7+C11)+(C8+C12)*INT(MAX(F21:F3533))</f>
        <v>57224.87310174173</v>
      </c>
      <c r="E15" s="20" t="s">
        <v>43</v>
      </c>
      <c r="F15" s="16">
        <v>1</v>
      </c>
    </row>
    <row r="16" spans="1:6" ht="12.75">
      <c r="A16" s="22" t="s">
        <v>8</v>
      </c>
      <c r="B16" s="15"/>
      <c r="C16" s="23">
        <f>+C8+C12</f>
        <v>0.6780476268601113</v>
      </c>
      <c r="E16" s="20" t="s">
        <v>40</v>
      </c>
      <c r="F16" s="21">
        <f ca="1">NOW()+15018.5+$C$5/24</f>
        <v>59906.85167152777</v>
      </c>
    </row>
    <row r="17" spans="1:6" ht="13.5" thickBot="1">
      <c r="A17" s="20" t="s">
        <v>36</v>
      </c>
      <c r="B17" s="15"/>
      <c r="C17" s="15">
        <f>COUNT(C21:C2191)</f>
        <v>5</v>
      </c>
      <c r="E17" s="20" t="s">
        <v>44</v>
      </c>
      <c r="F17" s="21">
        <f>ROUND(2*(F16-$C$7)/$C$8,0)/2+F15</f>
        <v>48001.5</v>
      </c>
    </row>
    <row r="18" spans="1:6" ht="14.25" thickBot="1" thickTop="1">
      <c r="A18" s="22" t="s">
        <v>9</v>
      </c>
      <c r="B18" s="15"/>
      <c r="C18" s="25">
        <f>+C15</f>
        <v>57224.87310174173</v>
      </c>
      <c r="D18" s="26">
        <f>+C16</f>
        <v>0.6780476268601113</v>
      </c>
      <c r="E18" s="20" t="s">
        <v>41</v>
      </c>
      <c r="F18" s="29">
        <f>ROUND(2*(F16-$C$15)/$C$16,0)/2+F15</f>
        <v>3956.5</v>
      </c>
    </row>
    <row r="19" spans="5:6" ht="13.5" thickTop="1">
      <c r="E19" s="20" t="s">
        <v>42</v>
      </c>
      <c r="F19" s="24">
        <f>+$C$15+$C$16*F18-15018.5-$C$5/24</f>
        <v>44889.4643707471</v>
      </c>
    </row>
    <row r="20" spans="1:17" ht="13.5" thickBot="1">
      <c r="A20" s="5" t="s">
        <v>10</v>
      </c>
      <c r="B20" s="5" t="s">
        <v>11</v>
      </c>
      <c r="C20" s="5" t="s">
        <v>12</v>
      </c>
      <c r="D20" s="5" t="s">
        <v>17</v>
      </c>
      <c r="E20" s="5" t="s">
        <v>13</v>
      </c>
      <c r="F20" s="5" t="s">
        <v>14</v>
      </c>
      <c r="G20" s="5" t="s">
        <v>15</v>
      </c>
      <c r="H20" s="8" t="s">
        <v>3</v>
      </c>
      <c r="I20" s="8" t="s">
        <v>46</v>
      </c>
      <c r="J20" s="8" t="s">
        <v>1</v>
      </c>
      <c r="K20" s="8" t="s">
        <v>2</v>
      </c>
      <c r="L20" s="8" t="s">
        <v>29</v>
      </c>
      <c r="M20" s="8" t="s">
        <v>30</v>
      </c>
      <c r="N20" s="8" t="s">
        <v>31</v>
      </c>
      <c r="O20" s="8" t="s">
        <v>27</v>
      </c>
      <c r="P20" s="7" t="s">
        <v>26</v>
      </c>
      <c r="Q20" s="5" t="s">
        <v>19</v>
      </c>
    </row>
    <row r="21" spans="1:17" ht="12.75">
      <c r="A21" t="s">
        <v>16</v>
      </c>
      <c r="C21" s="11">
        <f>+C4</f>
        <v>27360.267</v>
      </c>
      <c r="D21" s="11" t="s">
        <v>18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-0.001623311876201114</v>
      </c>
      <c r="Q21" s="2">
        <f>+C21-15018.5</f>
        <v>12341.767</v>
      </c>
    </row>
    <row r="22" spans="1:17" ht="12.75">
      <c r="A22" s="9" t="s">
        <v>33</v>
      </c>
      <c r="B22" s="10" t="s">
        <v>34</v>
      </c>
      <c r="C22" s="12">
        <v>50567.79300000006</v>
      </c>
      <c r="D22" s="13">
        <v>0.013</v>
      </c>
      <c r="E22">
        <f>+(C22-C$7)/C$8</f>
        <v>34226.87537110115</v>
      </c>
      <c r="F22">
        <f>ROUND(2*E22,0)/2</f>
        <v>34227</v>
      </c>
      <c r="G22">
        <f>+C22-(C$7+F22*C$8)</f>
        <v>-0.08450459993764525</v>
      </c>
      <c r="K22">
        <f>+G22</f>
        <v>-0.08450459993764525</v>
      </c>
      <c r="O22">
        <f>+C$11+C$12*$F22</f>
        <v>-0.07600337084869747</v>
      </c>
      <c r="Q22" s="2">
        <f>+C22-15018.5</f>
        <v>35549.29300000006</v>
      </c>
    </row>
    <row r="23" spans="1:17" ht="12.75">
      <c r="A23" s="9" t="s">
        <v>33</v>
      </c>
      <c r="B23" s="10" t="s">
        <v>34</v>
      </c>
      <c r="C23" s="12">
        <v>51343.48849999998</v>
      </c>
      <c r="D23" s="13">
        <v>0.0018</v>
      </c>
      <c r="E23">
        <f>+(C23-C$7)/C$8</f>
        <v>35370.8849998923</v>
      </c>
      <c r="F23">
        <f>ROUND(2*E23,0)/2</f>
        <v>35371</v>
      </c>
      <c r="G23">
        <f>+C23-(C$7+F23*C$8)</f>
        <v>-0.07797580002807081</v>
      </c>
      <c r="K23">
        <f>+G23</f>
        <v>-0.07797580002807081</v>
      </c>
      <c r="O23">
        <f>+C$11+C$12*$F23</f>
        <v>-0.07848944288143583</v>
      </c>
      <c r="Q23" s="2">
        <f>+C23-15018.5</f>
        <v>36324.98849999998</v>
      </c>
    </row>
    <row r="24" spans="1:17" ht="12.75">
      <c r="A24" s="9" t="s">
        <v>33</v>
      </c>
      <c r="B24" s="10" t="s">
        <v>35</v>
      </c>
      <c r="C24" s="12">
        <v>51344.16690000007</v>
      </c>
      <c r="D24" s="13">
        <v>0.0016</v>
      </c>
      <c r="E24">
        <f>+(C24-C$7)/C$8</f>
        <v>35371.88551637367</v>
      </c>
      <c r="F24">
        <f>ROUND(2*E24,0)/2</f>
        <v>35372</v>
      </c>
      <c r="G24">
        <f>+C24-(C$7+F24*C$8)</f>
        <v>-0.07762559993716422</v>
      </c>
      <c r="K24">
        <f>+G24</f>
        <v>-0.07762559993716422</v>
      </c>
      <c r="O24">
        <f>+C$11+C$12*$F24</f>
        <v>-0.0784916160213246</v>
      </c>
      <c r="Q24" s="2">
        <f>+C24-15018.5</f>
        <v>36325.66690000007</v>
      </c>
    </row>
    <row r="25" spans="1:17" ht="12.75">
      <c r="A25" s="32" t="s">
        <v>0</v>
      </c>
      <c r="B25" s="33" t="s">
        <v>34</v>
      </c>
      <c r="C25" s="32">
        <v>57224.8786</v>
      </c>
      <c r="D25" s="32">
        <v>0.0004</v>
      </c>
      <c r="E25">
        <f>+(C25-C$7)/C$8</f>
        <v>44044.86455124682</v>
      </c>
      <c r="F25">
        <f>ROUND(2*E25,0)/2</f>
        <v>44045</v>
      </c>
      <c r="G25">
        <f>+C25-(C$7+F25*C$8)</f>
        <v>-0.09184100000129547</v>
      </c>
      <c r="K25">
        <f>+G25</f>
        <v>-0.09184100000129547</v>
      </c>
      <c r="O25">
        <f>+C$11+C$12*$F25</f>
        <v>-0.09733925827651672</v>
      </c>
      <c r="Q25" s="2">
        <f>+C25-15018.5</f>
        <v>42206.3786</v>
      </c>
    </row>
    <row r="26" spans="3:17" ht="12.75">
      <c r="C26" s="11"/>
      <c r="D26" s="11"/>
      <c r="Q26" s="2"/>
    </row>
    <row r="27" spans="3:17" ht="12.75">
      <c r="C27" s="11"/>
      <c r="D27" s="11"/>
      <c r="Q27" s="2"/>
    </row>
    <row r="28" spans="3:17" ht="12.75">
      <c r="C28" s="11"/>
      <c r="D28" s="11"/>
      <c r="Q28" s="2"/>
    </row>
    <row r="29" spans="3:17" ht="12.75">
      <c r="C29" s="11"/>
      <c r="D29" s="11"/>
      <c r="Q29" s="2"/>
    </row>
    <row r="30" spans="3:17" ht="12.75">
      <c r="C30" s="11"/>
      <c r="D30" s="11"/>
      <c r="Q30" s="2"/>
    </row>
    <row r="31" spans="3:17" ht="12.75">
      <c r="C31" s="11"/>
      <c r="D31" s="11"/>
      <c r="Q31" s="2"/>
    </row>
    <row r="32" spans="3:17" ht="12.75">
      <c r="C32" s="11"/>
      <c r="D32" s="11"/>
      <c r="Q32" s="2"/>
    </row>
    <row r="33" spans="3:17" ht="12.75">
      <c r="C33" s="11"/>
      <c r="D33" s="11"/>
      <c r="Q33" s="2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/>
  <hyperlinks>
    <hyperlink ref="H62838" r:id="rId1" display="http://vsolj.cetus-net.org/bulletin.html"/>
    <hyperlink ref="H62831" r:id="rId2" display="https://www.aavso.org/ejaavso"/>
    <hyperlink ref="I62838" r:id="rId3" display="http://vsolj.cetus-net.org/bulletin.html"/>
    <hyperlink ref="AQ56489" r:id="rId4" display="http://cdsbib.u-strasbg.fr/cgi-bin/cdsbib?1990RMxAA..21..381G"/>
    <hyperlink ref="H62835" r:id="rId5" display="https://www.aavso.org/ejaavso"/>
    <hyperlink ref="AP3853" r:id="rId6" display="http://cdsbib.u-strasbg.fr/cgi-bin/cdsbib?1990RMxAA..21..381G"/>
    <hyperlink ref="AP3856" r:id="rId7" display="http://cdsbib.u-strasbg.fr/cgi-bin/cdsbib?1990RMxAA..21..381G"/>
    <hyperlink ref="AP3854" r:id="rId8" display="http://cdsbib.u-strasbg.fr/cgi-bin/cdsbib?1990RMxAA..21..381G"/>
    <hyperlink ref="AP3838" r:id="rId9" display="http://cdsbib.u-strasbg.fr/cgi-bin/cdsbib?1990RMxAA..21..381G"/>
    <hyperlink ref="AQ4067" r:id="rId10" display="http://cdsbib.u-strasbg.fr/cgi-bin/cdsbib?1990RMxAA..21..381G"/>
    <hyperlink ref="AQ4071" r:id="rId11" display="http://cdsbib.u-strasbg.fr/cgi-bin/cdsbib?1990RMxAA..21..381G"/>
    <hyperlink ref="AQ63751" r:id="rId12" display="http://cdsbib.u-strasbg.fr/cgi-bin/cdsbib?1990RMxAA..21..381G"/>
    <hyperlink ref="I959" r:id="rId13" display="http://vsolj.cetus-net.org/bulletin.html"/>
    <hyperlink ref="H959" r:id="rId14" display="http://vsolj.cetus-net.org/bulletin.html"/>
    <hyperlink ref="AQ64412" r:id="rId15" display="http://cdsbib.u-strasbg.fr/cgi-bin/cdsbib?1990RMxAA..21..381G"/>
    <hyperlink ref="AQ64411" r:id="rId16" display="http://cdsbib.u-strasbg.fr/cgi-bin/cdsbib?1990RMxAA..21..381G"/>
    <hyperlink ref="AP2129" r:id="rId17" display="http://cdsbib.u-strasbg.fr/cgi-bin/cdsbib?1990RMxAA..21..381G"/>
    <hyperlink ref="AP2147" r:id="rId18" display="http://cdsbib.u-strasbg.fr/cgi-bin/cdsbib?1990RMxAA..21..381G"/>
    <hyperlink ref="AP2148" r:id="rId19" display="http://cdsbib.u-strasbg.fr/cgi-bin/cdsbib?1990RMxAA..21..381G"/>
    <hyperlink ref="AP2144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