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<sst xmlns="http://schemas.openxmlformats.org/spreadsheetml/2006/main" count="67" uniqueCount="55">
  <si>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JAVSO..44…26</t>
  </si>
  <si>
    <t>--- Working ----</t>
  </si>
  <si>
    <t>Epoch =</t>
  </si>
  <si>
    <t>Period =</t>
  </si>
  <si>
    <t>Source</t>
  </si>
  <si>
    <t>Typ</t>
  </si>
  <si>
    <t>ToM</t>
  </si>
  <si>
    <t>n'</t>
  </si>
  <si>
    <t>n</t>
  </si>
  <si>
    <t>O-C</t>
  </si>
  <si>
    <t>error</t>
  </si>
  <si>
    <t>Date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</si>
  <si>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</si>
  <si>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</si>
  <si>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</si>
  <si>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</si>
  <si>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</si>
  <si>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</si>
  <si>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</si>
  <si>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</si>
  <si>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</si>
  <si>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</si>
  <si>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 xml:space="preserve">EA        </t>
  </si>
  <si>
    <t>Kreiner Eph.</t>
  </si>
  <si>
    <t>I</t>
  </si>
  <si>
    <t>II</t>
  </si>
  <si>
    <t>J.M. Kreiner, 2004, Acta Astronomica, vol. 54, pp 207-210.</t>
  </si>
  <si>
    <t>Ref only</t>
  </si>
  <si>
    <t>Kreiner 1</t>
  </si>
  <si>
    <t>Kreiner 2</t>
  </si>
  <si>
    <t xml:space="preserve">V1647 Sgr / GSC 7390-1395               </t>
  </si>
  <si>
    <t>IBVS 5843</t>
  </si>
  <si>
    <t>IBVS 5931</t>
  </si>
  <si>
    <t>My time zone &gt;&gt;&gt;&gt;&gt;</t>
  </si>
  <si>
    <t>(PST=8, PDT=MDT=7, MDT=CST=6, etc.)</t>
  </si>
  <si>
    <t>Start of Lin fit (row)</t>
  </si>
  <si>
    <t>LS Intercept =</t>
  </si>
  <si>
    <t>Add cycle</t>
  </si>
  <si>
    <t>LS Slope =</t>
  </si>
  <si>
    <t>JD today</t>
  </si>
  <si>
    <t>Start cell (x)</t>
  </si>
  <si>
    <t>Old Cycle</t>
  </si>
  <si>
    <t>Start cell (y)</t>
  </si>
  <si>
    <t>New Cycle</t>
  </si>
  <si>
    <t>New epoch =</t>
  </si>
  <si>
    <t>Next ToM</t>
  </si>
  <si>
    <t>New Period =</t>
  </si>
  <si>
    <t>Local time</t>
  </si>
  <si>
    <t># of data points =</t>
  </si>
  <si>
    <t>OEJV 0130</t>
  </si>
  <si>
    <t>OEJV 0181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</si>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</sst>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28" fillId="0" borderId="0" xfId="62" applyFont="1" applyAlignment="1">
      <alignment horizontal="left" vertical="center"/>
      <protection/>
    </xf>
    <xf numFmtId="0" fontId="28" fillId="0" borderId="0" xfId="62" applyFont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V1647 Sgr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375"/>
          <c:w val="0.88725"/>
          <c:h val="0.7652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372691"/>
        <c:axId val="3354220"/>
      </c:scatterChart>
      <c:valAx>
        <c:axId val="3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4220"/>
        <c:crosses val="autoZero"/>
        <c:crossBetween val="midCat"/>
        <c:dispUnits/>
      </c:valAx>
      <c:valAx>
        <c:axId val="3354220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25"/>
          <c:y val="0.9315"/>
          <c:w val="0.311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V1647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35"/>
          <c:w val="0.90675"/>
          <c:h val="0.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1"/>
                  <c:pt idx="0">
                    <c:v>52502.0208</c:v>
                  </c:pt>
                </c:numCache>
              </c:numRef>
            </c:plus>
            <c:minus>
              <c:numRef>
                <c:f>A!$C$21:$C$494</c:f>
                <c:numCache>
                  <c:ptCount val="1"/>
                  <c:pt idx="0">
                    <c:v>52502.0208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A!$F$21:$F$21</c:f>
              <c:numCache/>
            </c:numRef>
          </c:xVal>
          <c:yVal>
            <c:numRef>
              <c:f>A!$K$21:$K$21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A!$F$21:$F$21</c:f>
              <c:numCache/>
            </c:numRef>
          </c:xVal>
          <c:yVal>
            <c:numRef>
              <c:f>A!$I$21:$I$21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A!$F$21:$F$21</c:f>
              <c:numCache/>
            </c:numRef>
          </c:xVal>
          <c:yVal>
            <c:numRef>
              <c:f>A!$J$21:$J$21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A!$F$21:$F$21</c:f>
              <c:numCache/>
            </c:numRef>
          </c:xVal>
          <c:yVal>
            <c:numRef>
              <c:f>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A!$F$21:$F$21</c:f>
              <c:numCache/>
            </c:numRef>
          </c:xVal>
          <c:yVal>
            <c:numRef>
              <c:f>A!$L$21:$L$21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A!$F$21:$F$21</c:f>
              <c:numCache/>
            </c:numRef>
          </c:xVal>
          <c:yVal>
            <c:numRef>
              <c:f>A!$M$21:$M$21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A!$F$21:$F$21</c:f>
              <c:numCache/>
            </c:numRef>
          </c:xVal>
          <c:yVal>
            <c:numRef>
              <c:f>A!$N$21:$N$21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A!$F$21:$F$21</c:f>
              <c:numCache/>
            </c:numRef>
          </c:xVal>
          <c:yVal>
            <c:numRef>
              <c:f>A!$O$21:$O$21</c:f>
              <c:numCache/>
            </c:numRef>
          </c:yVal>
          <c:smooth val="0"/>
        </c:ser>
        <c:axId val="30187981"/>
        <c:axId val="3256374"/>
      </c:scatterChart>
      <c:valAx>
        <c:axId val="30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crossBetween val="midCat"/>
        <c:dispUnits/>
      </c:valAx>
      <c:valAx>
        <c:axId val="325637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3175"/>
          <c:w val="0.69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V1647 Sgr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"/>
          <c:w val="0.8885"/>
          <c:h val="0.765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crossBetween val="midCat"/>
        <c:dispUnits/>
      </c:valAx>
      <c:valAx>
        <c:axId val="6243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93175"/>
          <c:w val="0.339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12</xdr:col>
      <xdr:colOff>542925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362325" y="28575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466725</xdr:colOff>
      <xdr:row>0</xdr:row>
      <xdr:rowOff>0</xdr:rowOff>
    </xdr:from>
    <xdr:to>
      <xdr:col>28</xdr:col>
      <xdr:colOff>200025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2087225" y="0"/>
        <a:ext cx="59055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333375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7972425" y="0"/>
        <a:ext cx="46672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30</v>
      </c>
    </row>
    <row r="2" spans="1:2" ht="13.5" thickBot="1">
      <c r="A2" t="s">
        <v>12</v>
      </c>
      <c r="B2" t="s">
        <v>22</v>
      </c>
    </row>
    <row r="3" spans="1:5" ht="14.25" thickBot="1" thickTop="1">
      <c r="A3" s="7" t="s">
        <v>23</v>
      </c>
      <c r="B3" s="5" t="s">
        <v>24</v>
      </c>
      <c r="C3" s="20">
        <v>52502.0208</v>
      </c>
      <c r="D3" s="21">
        <v>3.2827817</v>
      </c>
      <c r="E3" s="22" t="s">
        <v>26</v>
      </c>
    </row>
    <row r="4" spans="1:5" ht="14.25" thickBot="1" thickTop="1">
      <c r="A4" s="7" t="s">
        <v>23</v>
      </c>
      <c r="B4" s="5" t="s">
        <v>25</v>
      </c>
      <c r="C4" s="20">
        <v>52503.0166</v>
      </c>
      <c r="D4" s="21">
        <v>3.2828242</v>
      </c>
      <c r="E4" s="25" t="s">
        <v>27</v>
      </c>
    </row>
    <row r="5" spans="1:4" ht="13.5" thickTop="1">
      <c r="A5" s="26" t="s">
        <v>33</v>
      </c>
      <c r="B5" s="27"/>
      <c r="C5" s="28">
        <v>-9.5</v>
      </c>
      <c r="D5" s="27" t="s">
        <v>34</v>
      </c>
    </row>
    <row r="6" ht="12.75">
      <c r="A6" s="7" t="s">
        <v>1</v>
      </c>
    </row>
    <row r="7" spans="1:3" ht="12.75">
      <c r="A7" t="s">
        <v>2</v>
      </c>
      <c r="C7">
        <f>C3</f>
        <v>52502.0208</v>
      </c>
    </row>
    <row r="8" spans="1:3" ht="12.75">
      <c r="A8" t="s">
        <v>3</v>
      </c>
      <c r="C8">
        <f>D3</f>
        <v>3.2827817</v>
      </c>
    </row>
    <row r="9" spans="1:4" ht="12.75">
      <c r="A9" s="29" t="s">
        <v>35</v>
      </c>
      <c r="B9" s="29"/>
      <c r="C9" s="30">
        <v>21</v>
      </c>
      <c r="D9" s="30">
        <v>21</v>
      </c>
    </row>
    <row r="10" spans="1:4" ht="13.5" thickBot="1">
      <c r="A10" s="27"/>
      <c r="B10" s="27"/>
      <c r="C10" s="6" t="s">
        <v>14</v>
      </c>
      <c r="D10" s="6" t="s">
        <v>15</v>
      </c>
    </row>
    <row r="11" spans="1:6" ht="12.75">
      <c r="A11" s="27" t="s">
        <v>36</v>
      </c>
      <c r="B11" s="27"/>
      <c r="C11" s="31">
        <f ca="1">INTERCEPT(INDIRECT(C14):R$935,INDIRECT(C13):$F$935)</f>
        <v>-0.00028583023534816407</v>
      </c>
      <c r="D11" s="31">
        <f ca="1">INTERCEPT(INDIRECT(D14):S$935,INDIRECT(D13):$F$935)</f>
        <v>-0.6457736121033009</v>
      </c>
      <c r="E11" s="29" t="s">
        <v>37</v>
      </c>
      <c r="F11">
        <v>1</v>
      </c>
    </row>
    <row r="12" spans="1:6" ht="12.75">
      <c r="A12" s="27" t="s">
        <v>38</v>
      </c>
      <c r="B12" s="27"/>
      <c r="C12" s="31">
        <f ca="1">SLOPE(INDIRECT(C14):R$935,INDIRECT(C13):$F$935)</f>
        <v>-8.1280094204074E-07</v>
      </c>
      <c r="D12" s="31">
        <f ca="1">SLOPE(INDIRECT(D14):S$935,INDIRECT(D13):$F$935)</f>
        <v>4.455474171550202E-05</v>
      </c>
      <c r="E12" s="29" t="s">
        <v>39</v>
      </c>
      <c r="F12" s="32">
        <f ca="1">NOW()+15018.5+$C$5/24</f>
        <v>59906.85231597222</v>
      </c>
    </row>
    <row r="13" spans="1:6" ht="12.75">
      <c r="A13" s="29" t="s">
        <v>40</v>
      </c>
      <c r="B13" s="29"/>
      <c r="C13" s="30" t="str">
        <f>"F"&amp;C9</f>
        <v>F21</v>
      </c>
      <c r="D13" s="30" t="str">
        <f>"F"&amp;D9</f>
        <v>F21</v>
      </c>
      <c r="E13" s="29" t="s">
        <v>41</v>
      </c>
      <c r="F13" s="32">
        <f>ROUND(2*(F12-$C$7)/$C$8,0)/2+F11</f>
        <v>2256.5</v>
      </c>
    </row>
    <row r="14" spans="1:6" ht="12.75">
      <c r="A14" s="29" t="s">
        <v>42</v>
      </c>
      <c r="B14" s="29"/>
      <c r="C14" s="30" t="str">
        <f>"R"&amp;C9</f>
        <v>R21</v>
      </c>
      <c r="D14" s="30" t="str">
        <f>"S"&amp;D9</f>
        <v>S21</v>
      </c>
      <c r="E14" s="29" t="s">
        <v>43</v>
      </c>
      <c r="F14" s="25">
        <f>ROUND(2*(F12-$C$15)/$C$16,0)/2+F11</f>
        <v>733.5</v>
      </c>
    </row>
    <row r="15" spans="1:6" ht="12.75">
      <c r="A15" s="33" t="s">
        <v>44</v>
      </c>
      <c r="B15" s="27"/>
      <c r="C15" s="34">
        <f>($C7+C11)+($C8+C12)*INT(MAX($F21:$F3533))</f>
        <v>57501.69580537393</v>
      </c>
      <c r="D15" s="34">
        <f>($C7+D11)+($C8+D12)*INT(MAX($F21:$F3533))</f>
        <v>57501.119412359534</v>
      </c>
      <c r="E15" s="29" t="s">
        <v>45</v>
      </c>
      <c r="F15" s="35">
        <f>+$C$15+$C$16*F14-15018.5-$C$5/24</f>
        <v>44891.51141946777</v>
      </c>
    </row>
    <row r="16" spans="1:6" ht="12.75">
      <c r="A16" s="36" t="s">
        <v>46</v>
      </c>
      <c r="B16" s="27"/>
      <c r="C16" s="37">
        <f>+$C8+C12</f>
        <v>3.282780887199058</v>
      </c>
      <c r="D16" s="31">
        <f>+$C8+D12</f>
        <v>3.2828262547417157</v>
      </c>
      <c r="E16" s="38"/>
      <c r="F16" s="38" t="s">
        <v>47</v>
      </c>
    </row>
    <row r="17" spans="1:3" ht="13.5" thickBot="1">
      <c r="A17" s="19" t="s">
        <v>48</v>
      </c>
      <c r="C17">
        <f>COUNT(C21:C1247)</f>
        <v>8</v>
      </c>
    </row>
    <row r="18" spans="1:5" ht="14.25" thickBot="1" thickTop="1">
      <c r="A18" s="7" t="s">
        <v>17</v>
      </c>
      <c r="C18" s="3">
        <f>+C15</f>
        <v>57501.69580537393</v>
      </c>
      <c r="D18" s="4">
        <f>+C16</f>
        <v>3.282780887199058</v>
      </c>
      <c r="E18" s="39">
        <f>R19</f>
        <v>4</v>
      </c>
    </row>
    <row r="19" spans="1:19" ht="14.25" thickBot="1" thickTop="1">
      <c r="A19" s="7" t="s">
        <v>18</v>
      </c>
      <c r="C19" s="3">
        <f>+D15</f>
        <v>57501.119412359534</v>
      </c>
      <c r="D19" s="4">
        <f>+D16</f>
        <v>3.2828262547417157</v>
      </c>
      <c r="E19" s="39">
        <f>S19</f>
        <v>4</v>
      </c>
      <c r="R19">
        <f>COUNT(R21:R322)</f>
        <v>4</v>
      </c>
      <c r="S19">
        <f>COUNT(S21:S322)</f>
        <v>4</v>
      </c>
    </row>
    <row r="20" spans="1:19" ht="14.25" thickBot="1" thickTop="1">
      <c r="A20" s="6" t="s">
        <v>4</v>
      </c>
      <c r="B20" s="6" t="s">
        <v>5</v>
      </c>
      <c r="C20" s="6" t="s">
        <v>6</v>
      </c>
      <c r="D20" s="6" t="s">
        <v>10</v>
      </c>
      <c r="E20" s="6" t="s">
        <v>7</v>
      </c>
      <c r="F20" s="6" t="s">
        <v>8</v>
      </c>
      <c r="G20" s="6" t="s">
        <v>9</v>
      </c>
      <c r="H20" s="9" t="s">
        <v>51</v>
      </c>
      <c r="I20" s="9" t="s">
        <v>52</v>
      </c>
      <c r="J20" s="9" t="s">
        <v>53</v>
      </c>
      <c r="K20" s="9" t="s">
        <v>54</v>
      </c>
      <c r="L20" s="9" t="s">
        <v>21</v>
      </c>
      <c r="M20" s="9" t="s">
        <v>13</v>
      </c>
      <c r="N20" s="9" t="s">
        <v>16</v>
      </c>
      <c r="O20" s="9" t="s">
        <v>19</v>
      </c>
      <c r="P20" s="8" t="s">
        <v>20</v>
      </c>
      <c r="Q20" s="6" t="s">
        <v>11</v>
      </c>
      <c r="R20" s="10" t="s">
        <v>14</v>
      </c>
      <c r="S20" s="10" t="s">
        <v>15</v>
      </c>
    </row>
    <row r="21" spans="1:18" ht="12.75">
      <c r="A21" s="23" t="s">
        <v>28</v>
      </c>
      <c r="B21" s="24" t="s">
        <v>24</v>
      </c>
      <c r="C21" s="23">
        <v>52502.0208</v>
      </c>
      <c r="D21" s="23"/>
      <c r="E21">
        <f aca="true" t="shared" si="0" ref="E21:E27">+(C21-C$7)/C$8</f>
        <v>0</v>
      </c>
      <c r="F21">
        <f aca="true" t="shared" si="1" ref="F21:F28">ROUND(2*E21,0)/2</f>
        <v>0</v>
      </c>
      <c r="G21">
        <f aca="true" t="shared" si="2" ref="G21:G27">+C21-(C$7+F21*C$8)</f>
        <v>0</v>
      </c>
      <c r="K21">
        <f>+G21</f>
        <v>0</v>
      </c>
      <c r="O21">
        <f aca="true" t="shared" si="3" ref="O21:O27">+C$11+D$11*$F21</f>
        <v>-0.00028583023534816407</v>
      </c>
      <c r="P21">
        <f aca="true" t="shared" si="4" ref="P21:P27">+D$11+D$12*$F21</f>
        <v>-0.6457736121033009</v>
      </c>
      <c r="Q21" s="2">
        <f aca="true" t="shared" si="5" ref="Q21:Q27">+C21-15018.5</f>
        <v>37483.5208</v>
      </c>
      <c r="R21">
        <f>G21</f>
        <v>0</v>
      </c>
    </row>
    <row r="22" spans="1:19" ht="12.75">
      <c r="A22" s="23" t="s">
        <v>29</v>
      </c>
      <c r="B22" s="24" t="s">
        <v>25</v>
      </c>
      <c r="C22" s="23">
        <v>52503.0166</v>
      </c>
      <c r="D22" s="23"/>
      <c r="E22">
        <f t="shared" si="0"/>
        <v>0.3033403043535418</v>
      </c>
      <c r="F22">
        <f t="shared" si="1"/>
        <v>0.5</v>
      </c>
      <c r="G22">
        <f t="shared" si="2"/>
        <v>-0.6455908499992802</v>
      </c>
      <c r="K22">
        <f>+G22</f>
        <v>-0.6455908499992802</v>
      </c>
      <c r="O22">
        <f t="shared" si="3"/>
        <v>-0.3231726362869986</v>
      </c>
      <c r="P22">
        <f t="shared" si="4"/>
        <v>-0.6457513347324431</v>
      </c>
      <c r="Q22" s="2">
        <f t="shared" si="5"/>
        <v>37484.5166</v>
      </c>
      <c r="S22">
        <f>G22</f>
        <v>-0.6455908499992802</v>
      </c>
    </row>
    <row r="23" spans="1:19" ht="12.75">
      <c r="A23" s="11" t="s">
        <v>31</v>
      </c>
      <c r="B23" s="24" t="s">
        <v>25</v>
      </c>
      <c r="C23" s="23">
        <v>53983.5713</v>
      </c>
      <c r="D23" s="23">
        <v>0.001</v>
      </c>
      <c r="E23">
        <f t="shared" si="0"/>
        <v>451.30947939669727</v>
      </c>
      <c r="F23">
        <f t="shared" si="1"/>
        <v>451.5</v>
      </c>
      <c r="G23">
        <f t="shared" si="2"/>
        <v>-0.625437549992057</v>
      </c>
      <c r="H23">
        <f>+G23</f>
        <v>-0.625437549992057</v>
      </c>
      <c r="O23">
        <f t="shared" si="3"/>
        <v>-291.56707169487566</v>
      </c>
      <c r="P23">
        <f t="shared" si="4"/>
        <v>-0.6256571462187517</v>
      </c>
      <c r="Q23" s="2">
        <f t="shared" si="5"/>
        <v>38965.0713</v>
      </c>
      <c r="S23">
        <f>G23</f>
        <v>-0.625437549992057</v>
      </c>
    </row>
    <row r="24" spans="1:19" ht="12.75">
      <c r="A24" s="18" t="s">
        <v>32</v>
      </c>
      <c r="B24" s="40" t="s">
        <v>25</v>
      </c>
      <c r="C24" s="18">
        <v>53809.5808</v>
      </c>
      <c r="D24" s="18">
        <v>0.0004</v>
      </c>
      <c r="E24">
        <f t="shared" si="0"/>
        <v>398.3085442446584</v>
      </c>
      <c r="F24">
        <f t="shared" si="1"/>
        <v>398.5</v>
      </c>
      <c r="G24">
        <f t="shared" si="2"/>
        <v>-0.6285074499974144</v>
      </c>
      <c r="H24">
        <f>+G24</f>
        <v>-0.6285074499974144</v>
      </c>
      <c r="O24">
        <f t="shared" si="3"/>
        <v>-257.34107025340074</v>
      </c>
      <c r="P24">
        <f t="shared" si="4"/>
        <v>-0.6280185475296733</v>
      </c>
      <c r="Q24" s="2">
        <f t="shared" si="5"/>
        <v>38791.0808</v>
      </c>
      <c r="S24">
        <f>G24</f>
        <v>-0.6285074499974144</v>
      </c>
    </row>
    <row r="25" spans="1:19" ht="12.75">
      <c r="A25" s="11" t="s">
        <v>49</v>
      </c>
      <c r="B25" s="24" t="s">
        <v>25</v>
      </c>
      <c r="C25" s="23">
        <v>55385.338</v>
      </c>
      <c r="D25" s="23">
        <v>0.004</v>
      </c>
      <c r="E25">
        <f t="shared" si="0"/>
        <v>878.3152410042998</v>
      </c>
      <c r="F25">
        <f t="shared" si="1"/>
        <v>878.5</v>
      </c>
      <c r="G25">
        <f t="shared" si="2"/>
        <v>-0.606523449998349</v>
      </c>
      <c r="H25">
        <f>+G25</f>
        <v>-0.606523449998349</v>
      </c>
      <c r="O25">
        <f t="shared" si="3"/>
        <v>-567.3124040629851</v>
      </c>
      <c r="P25">
        <f t="shared" si="4"/>
        <v>-0.6066322715062323</v>
      </c>
      <c r="Q25" s="2">
        <f t="shared" si="5"/>
        <v>40366.838</v>
      </c>
      <c r="S25">
        <f>G25</f>
        <v>-0.606523449998349</v>
      </c>
    </row>
    <row r="26" spans="1:18" ht="12.75">
      <c r="A26" s="41" t="s">
        <v>50</v>
      </c>
      <c r="B26" s="42" t="s">
        <v>24</v>
      </c>
      <c r="C26" s="43">
        <v>57501.696</v>
      </c>
      <c r="D26" s="43">
        <v>0.002</v>
      </c>
      <c r="E26">
        <f t="shared" si="0"/>
        <v>1522.9995951299488</v>
      </c>
      <c r="F26">
        <f t="shared" si="1"/>
        <v>1523</v>
      </c>
      <c r="G26">
        <f t="shared" si="2"/>
        <v>-0.0013290999922901392</v>
      </c>
      <c r="H26">
        <f>+G26</f>
        <v>-0.0013290999922901392</v>
      </c>
      <c r="O26">
        <f t="shared" si="3"/>
        <v>-983.5134970635626</v>
      </c>
      <c r="P26">
        <f t="shared" si="4"/>
        <v>-0.5779167404705913</v>
      </c>
      <c r="Q26" s="2">
        <f t="shared" si="5"/>
        <v>42483.196</v>
      </c>
      <c r="R26">
        <f>G26</f>
        <v>-0.0013290999922901392</v>
      </c>
    </row>
    <row r="27" spans="1:18" ht="12.75">
      <c r="A27" s="41" t="s">
        <v>50</v>
      </c>
      <c r="B27" s="42" t="s">
        <v>24</v>
      </c>
      <c r="C27" s="43">
        <v>56162.32</v>
      </c>
      <c r="D27" s="43">
        <v>0.01</v>
      </c>
      <c r="E27">
        <f t="shared" si="0"/>
        <v>1114.999270283492</v>
      </c>
      <c r="F27">
        <f t="shared" si="1"/>
        <v>1115</v>
      </c>
      <c r="G27">
        <f t="shared" si="2"/>
        <v>-0.002395499999693129</v>
      </c>
      <c r="H27">
        <f>+G27</f>
        <v>-0.002395499999693129</v>
      </c>
      <c r="O27">
        <f t="shared" si="3"/>
        <v>-720.0378633254159</v>
      </c>
      <c r="P27">
        <f t="shared" si="4"/>
        <v>-0.5960950750905161</v>
      </c>
      <c r="Q27" s="2">
        <f t="shared" si="5"/>
        <v>41143.82</v>
      </c>
      <c r="R27">
        <f>G27</f>
        <v>-0.002395499999693129</v>
      </c>
    </row>
    <row r="28" spans="1:18" ht="12.75">
      <c r="A28" s="44" t="s">
        <v>0</v>
      </c>
      <c r="B28" s="45" t="s">
        <v>24</v>
      </c>
      <c r="C28" s="44">
        <v>57248.9224</v>
      </c>
      <c r="D28" s="44">
        <v>0.0002</v>
      </c>
      <c r="E28">
        <f>+(C28-C$7)/C$8</f>
        <v>1445.9997751297335</v>
      </c>
      <c r="F28">
        <f t="shared" si="1"/>
        <v>1446</v>
      </c>
      <c r="G28">
        <f>+C28-(C$7+F28*C$8)</f>
        <v>-0.00073819999670377</v>
      </c>
      <c r="K28">
        <f>+G28</f>
        <v>-0.00073819999670377</v>
      </c>
      <c r="O28">
        <f>+C$11+D$11*$F28</f>
        <v>-933.7889289316084</v>
      </c>
      <c r="P28">
        <f>+D$11+D$12*$F28</f>
        <v>-0.581347455582685</v>
      </c>
      <c r="Q28" s="2">
        <f>+C28-15018.5</f>
        <v>42230.4224</v>
      </c>
      <c r="R28">
        <f>G28</f>
        <v>-0.00073819999670377</v>
      </c>
    </row>
    <row r="29" spans="1:17" ht="12.75">
      <c r="A29" s="14"/>
      <c r="B29" s="15"/>
      <c r="C29" s="16"/>
      <c r="D29" s="16"/>
      <c r="Q29" s="2"/>
    </row>
    <row r="30" spans="1:17" ht="12.75">
      <c r="A30" s="11"/>
      <c r="B30" s="5"/>
      <c r="C30" s="12"/>
      <c r="D30" s="13"/>
      <c r="Q30" s="2"/>
    </row>
    <row r="31" spans="1:17" ht="12.75">
      <c r="A31" s="14"/>
      <c r="B31" s="17"/>
      <c r="C31" s="12"/>
      <c r="D31" s="12"/>
      <c r="Q31" s="2"/>
    </row>
    <row r="32" spans="1:17" ht="12.75">
      <c r="A32" s="14"/>
      <c r="B32" s="17"/>
      <c r="C32" s="12"/>
      <c r="D32" s="12"/>
      <c r="Q32" s="2"/>
    </row>
    <row r="33" spans="1:17" ht="12.75">
      <c r="A33" s="18"/>
      <c r="B33" s="5"/>
      <c r="C33" s="12"/>
      <c r="D33" s="13"/>
      <c r="Q33" s="2"/>
    </row>
    <row r="34" spans="1:17" ht="12.75">
      <c r="A34" s="18"/>
      <c r="B34" s="5"/>
      <c r="C34" s="12"/>
      <c r="D34" s="13"/>
      <c r="Q34" s="2"/>
    </row>
    <row r="35" spans="1:17" ht="12.75">
      <c r="A35" s="18"/>
      <c r="B35" s="5"/>
      <c r="C35" s="12"/>
      <c r="D35" s="13"/>
      <c r="Q35" s="2"/>
    </row>
  </sheetData>
  <sheetProtection/>
  <hyperlinks>
    <hyperlink ref="H62840" r:id="rId1" display="http://vsolj.cetus-net.org/bulletin.html"/>
    <hyperlink ref="H62833" r:id="rId2" display="https://www.aavso.org/ejaavso"/>
    <hyperlink ref="I62840" r:id="rId3" display="http://vsolj.cetus-net.org/bulletin.html"/>
    <hyperlink ref="AQ56491" r:id="rId4" display="http://cdsbib.u-strasbg.fr/cgi-bin/cdsbib?1990RMxAA..21..381G"/>
    <hyperlink ref="H62837" r:id="rId5" display="https://www.aavso.org/ejaavso"/>
    <hyperlink ref="AP3855" r:id="rId6" display="http://cdsbib.u-strasbg.fr/cgi-bin/cdsbib?1990RMxAA..21..381G"/>
    <hyperlink ref="AP3858" r:id="rId7" display="http://cdsbib.u-strasbg.fr/cgi-bin/cdsbib?1990RMxAA..21..381G"/>
    <hyperlink ref="AP3856" r:id="rId8" display="http://cdsbib.u-strasbg.fr/cgi-bin/cdsbib?1990RMxAA..21..381G"/>
    <hyperlink ref="AP3840" r:id="rId9" display="http://cdsbib.u-strasbg.fr/cgi-bin/cdsbib?1990RMxAA..21..381G"/>
    <hyperlink ref="AQ4069" r:id="rId10" display="http://cdsbib.u-strasbg.fr/cgi-bin/cdsbib?1990RMxAA..21..381G"/>
    <hyperlink ref="AQ4073" r:id="rId11" display="http://cdsbib.u-strasbg.fr/cgi-bin/cdsbib?1990RMxAA..21..381G"/>
    <hyperlink ref="AQ63753" r:id="rId12" display="http://cdsbib.u-strasbg.fr/cgi-bin/cdsbib?1990RMxAA..21..381G"/>
    <hyperlink ref="I961" r:id="rId13" display="http://vsolj.cetus-net.org/bulletin.html"/>
    <hyperlink ref="H961" r:id="rId14" display="http://vsolj.cetus-net.org/bulletin.html"/>
    <hyperlink ref="AQ64414" r:id="rId15" display="http://cdsbib.u-strasbg.fr/cgi-bin/cdsbib?1990RMxAA..21..381G"/>
    <hyperlink ref="AQ64413" r:id="rId16" display="http://cdsbib.u-strasbg.fr/cgi-bin/cdsbib?1990RMxAA..21..381G"/>
    <hyperlink ref="AP2131" r:id="rId17" display="http://cdsbib.u-strasbg.fr/cgi-bin/cdsbib?1990RMxAA..21..381G"/>
    <hyperlink ref="AP2149" r:id="rId18" display="http://cdsbib.u-strasbg.fr/cgi-bin/cdsbib?1990RMxAA..21..381G"/>
    <hyperlink ref="AP2150" r:id="rId19" display="http://cdsbib.u-strasbg.fr/cgi-bin/cdsbib?1990RMxAA..21..381G"/>
    <hyperlink ref="AP214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