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E28147E0-0179-4EE2-8E11-DDA0B60F9A24}" xr6:coauthVersionLast="47" xr6:coauthVersionMax="47" xr10:uidLastSave="{00000000-0000-0000-0000-000000000000}"/>
  <bookViews>
    <workbookView xWindow="14820" yWindow="855" windowWidth="13320" windowHeight="14565"/>
  </bookViews>
  <sheets>
    <sheet name="Active 1" sheetId="1" r:id="rId1"/>
    <sheet name="Active 2" sheetId="2" r:id="rId2"/>
  </sheets>
  <calcPr calcId="181029"/>
</workbook>
</file>

<file path=xl/calcChain.xml><?xml version="1.0" encoding="utf-8"?>
<calcChain xmlns="http://schemas.openxmlformats.org/spreadsheetml/2006/main">
  <c r="E32" i="2" l="1"/>
  <c r="F32" i="2" s="1"/>
  <c r="G32" i="2" s="1"/>
  <c r="K32" i="2" s="1"/>
  <c r="Q32" i="2"/>
  <c r="E32" i="1"/>
  <c r="F32" i="1" s="1"/>
  <c r="G32" i="1" s="1"/>
  <c r="I32" i="1" s="1"/>
  <c r="Q32" i="1"/>
  <c r="E28" i="1"/>
  <c r="F28" i="1" s="1"/>
  <c r="G28" i="1" s="1"/>
  <c r="I28" i="1" s="1"/>
  <c r="Q28" i="1"/>
  <c r="E29" i="1"/>
  <c r="F29" i="1" s="1"/>
  <c r="G29" i="1" s="1"/>
  <c r="I29" i="1" s="1"/>
  <c r="Q29" i="1"/>
  <c r="E30" i="1"/>
  <c r="F30" i="1" s="1"/>
  <c r="G30" i="1" s="1"/>
  <c r="I30" i="1" s="1"/>
  <c r="Q30" i="1"/>
  <c r="E31" i="1"/>
  <c r="F31" i="1"/>
  <c r="G31" i="1" s="1"/>
  <c r="I31" i="1" s="1"/>
  <c r="Q31" i="1"/>
  <c r="E31" i="2"/>
  <c r="F31" i="2"/>
  <c r="G31" i="2"/>
  <c r="K31" i="2"/>
  <c r="Q31" i="2"/>
  <c r="E28" i="2"/>
  <c r="F28" i="2"/>
  <c r="G28" i="2"/>
  <c r="K28" i="2"/>
  <c r="E29" i="2"/>
  <c r="F29" i="2"/>
  <c r="G29" i="2"/>
  <c r="K29" i="2"/>
  <c r="E30" i="2"/>
  <c r="F30" i="2"/>
  <c r="G30" i="2"/>
  <c r="K30" i="2"/>
  <c r="E9" i="2"/>
  <c r="D9" i="2"/>
  <c r="E22" i="2"/>
  <c r="F22" i="2"/>
  <c r="G22" i="2"/>
  <c r="K22" i="2"/>
  <c r="E23" i="2"/>
  <c r="F23" i="2"/>
  <c r="G23" i="2"/>
  <c r="K23" i="2"/>
  <c r="E24" i="2"/>
  <c r="F24" i="2"/>
  <c r="G24" i="2"/>
  <c r="K24" i="2"/>
  <c r="E25" i="2"/>
  <c r="F25" i="2"/>
  <c r="G25" i="2"/>
  <c r="K25" i="2"/>
  <c r="E26" i="2"/>
  <c r="F26" i="2"/>
  <c r="G26" i="2"/>
  <c r="K26" i="2"/>
  <c r="E27" i="2"/>
  <c r="F27" i="2"/>
  <c r="G27" i="2"/>
  <c r="K27" i="2"/>
  <c r="Q28" i="2"/>
  <c r="Q29" i="2"/>
  <c r="Q30" i="2"/>
  <c r="E21" i="2"/>
  <c r="F21" i="2"/>
  <c r="G21" i="2"/>
  <c r="I21" i="2"/>
  <c r="F16" i="2"/>
  <c r="F17" i="2" s="1"/>
  <c r="C17" i="2"/>
  <c r="Q21" i="2"/>
  <c r="Q22" i="2"/>
  <c r="Q23" i="2"/>
  <c r="Q24" i="2"/>
  <c r="Q25" i="2"/>
  <c r="Q26" i="2"/>
  <c r="Q27" i="2"/>
  <c r="Q27" i="1"/>
  <c r="E25" i="1"/>
  <c r="F25" i="1" s="1"/>
  <c r="G25" i="1" s="1"/>
  <c r="I25" i="1" s="1"/>
  <c r="E26" i="1"/>
  <c r="F26" i="1"/>
  <c r="G26" i="1" s="1"/>
  <c r="I26" i="1" s="1"/>
  <c r="E27" i="1"/>
  <c r="F27" i="1" s="1"/>
  <c r="G27" i="1" s="1"/>
  <c r="I27" i="1" s="1"/>
  <c r="Q26" i="1"/>
  <c r="Q25" i="1"/>
  <c r="E24" i="1"/>
  <c r="F24" i="1"/>
  <c r="E22" i="1"/>
  <c r="F22" i="1" s="1"/>
  <c r="G22" i="1" s="1"/>
  <c r="I22" i="1" s="1"/>
  <c r="E23" i="1"/>
  <c r="F23" i="1" s="1"/>
  <c r="G23" i="1" s="1"/>
  <c r="I23" i="1" s="1"/>
  <c r="D9" i="1"/>
  <c r="E9" i="1"/>
  <c r="Q24" i="1"/>
  <c r="Q22" i="1"/>
  <c r="Q23" i="1"/>
  <c r="Q21" i="1"/>
  <c r="E21" i="1"/>
  <c r="F21" i="1"/>
  <c r="G21" i="1"/>
  <c r="H21" i="1" s="1"/>
  <c r="F16" i="1"/>
  <c r="C17" i="1"/>
  <c r="C12" i="2"/>
  <c r="C11" i="2"/>
  <c r="C12" i="1"/>
  <c r="C11" i="1"/>
  <c r="O32" i="2" l="1"/>
  <c r="O32" i="1"/>
  <c r="C15" i="1"/>
  <c r="O28" i="1"/>
  <c r="O26" i="1"/>
  <c r="O30" i="1"/>
  <c r="O22" i="1"/>
  <c r="O27" i="1"/>
  <c r="O23" i="1"/>
  <c r="O31" i="1"/>
  <c r="O25" i="1"/>
  <c r="O29" i="1"/>
  <c r="O21" i="1"/>
  <c r="O24" i="1"/>
  <c r="C16" i="1"/>
  <c r="D18" i="1" s="1"/>
  <c r="O26" i="2"/>
  <c r="O28" i="2"/>
  <c r="O24" i="2"/>
  <c r="O21" i="2"/>
  <c r="O30" i="2"/>
  <c r="C15" i="2"/>
  <c r="O27" i="2"/>
  <c r="O23" i="2"/>
  <c r="O25" i="2"/>
  <c r="O31" i="2"/>
  <c r="O22" i="2"/>
  <c r="O29" i="2"/>
  <c r="C16" i="2"/>
  <c r="D18" i="2" s="1"/>
  <c r="F17" i="1"/>
  <c r="F18" i="1" l="1"/>
  <c r="F19" i="1" s="1"/>
  <c r="C18" i="2"/>
  <c r="F18" i="2"/>
  <c r="F19" i="2" s="1"/>
  <c r="C18" i="1"/>
</calcChain>
</file>

<file path=xl/sharedStrings.xml><?xml version="1.0" encoding="utf-8"?>
<sst xmlns="http://schemas.openxmlformats.org/spreadsheetml/2006/main" count="145" uniqueCount="63">
  <si>
    <t>JAVSO..44…69</t>
  </si>
  <si>
    <t>JAVSO..45..121</t>
  </si>
  <si>
    <t>VSB-063</t>
  </si>
  <si>
    <t>Period confirmed by ToMcat 2019-07-08</t>
  </si>
  <si>
    <t>PE</t>
  </si>
  <si>
    <t>V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</si>
  <si>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</si>
  <si>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</si>
  <si>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</si>
  <si>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</si>
  <si>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</si>
  <si>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</si>
  <si>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</si>
  <si>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</si>
  <si>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</si>
  <si>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</si>
  <si>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</si>
  <si>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</si>
  <si>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</si>
  <si>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</si>
  <si>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</si>
  <si>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</si>
  <si>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</si>
  <si>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</si>
  <si>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</si>
  <si>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</si>
  <si>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</si>
  <si>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</si>
  <si>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</si>
  <si>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</si>
  <si>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</si>
  <si>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</si>
  <si>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</si>
  <si>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</si>
  <si>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</si>
  <si>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</si>
  <si>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</si>
  <si>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</si>
  <si>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</si>
  <si>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</si>
  <si>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</si>
  <si>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</si>
  <si>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</si>
  <si>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</si>
  <si>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</si>
  <si>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V1223 Tau / GSC 0650-0475</t>
  </si>
  <si>
    <t>IBVS 5920</t>
  </si>
  <si>
    <t>I</t>
  </si>
  <si>
    <t>GRAV</t>
  </si>
  <si>
    <t>not avail.</t>
  </si>
  <si>
    <t>EW</t>
  </si>
  <si>
    <t>Add cycle</t>
  </si>
  <si>
    <t>Old Cycle</t>
  </si>
  <si>
    <t>IBVS 5960</t>
  </si>
  <si>
    <t>IBVS 6011</t>
  </si>
  <si>
    <t>JAVSO..42..426</t>
  </si>
  <si>
    <t>VSX</t>
  </si>
  <si>
    <t>BAD?</t>
  </si>
  <si>
    <t>This period seems to be wrong</t>
  </si>
  <si>
    <t>vis</t>
  </si>
  <si>
    <t>JAVSO 49, 256</t>
  </si>
  <si>
    <t>II</t>
  </si>
  <si>
    <t>JAVSO, 50,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</si>
</sst>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40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4"/>
      <name val="Arial"/>
      <family val="2"/>
    </font>
    <font>
      <sz val="10"/>
      <color indexed="13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26" fillId="0" borderId="0"/>
    <xf numFmtId="0" fontId="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8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6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1" fillId="0" borderId="0" xfId="0" applyFont="1" applyAlignment="1"/>
    <xf numFmtId="0" fontId="7" fillId="0" borderId="8" xfId="0" applyFont="1" applyFill="1" applyBorder="1" applyAlignment="1">
      <alignment horizontal="center"/>
    </xf>
    <xf numFmtId="0" fontId="0" fillId="0" borderId="5" xfId="0" applyBorder="1">
      <alignment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8" fillId="0" borderId="0" xfId="0" applyFont="1">
      <alignment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9" fillId="0" borderId="8" xfId="0" applyFont="1" applyFill="1" applyBorder="1" applyAlignment="1">
      <alignment horizontal="center"/>
    </xf>
    <xf numFmtId="0" fontId="20" fillId="24" borderId="0" xfId="0" applyFont="1" applyFill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6" fillId="0" borderId="0" xfId="42" applyFont="1" applyAlignment="1">
      <alignment horizontal="left" vertical="center"/>
    </xf>
    <xf numFmtId="0" fontId="36" fillId="0" borderId="0" xfId="42" applyFont="1" applyAlignment="1">
      <alignment horizontal="center" vertical="center"/>
    </xf>
    <xf numFmtId="0" fontId="37" fillId="0" borderId="0" xfId="41" applyFont="1" applyAlignment="1">
      <alignment horizontal="left"/>
    </xf>
    <xf numFmtId="0" fontId="37" fillId="0" borderId="0" xfId="41" applyFont="1" applyAlignment="1">
      <alignment horizontal="center"/>
    </xf>
    <xf numFmtId="0" fontId="18" fillId="0" borderId="0" xfId="0" applyFont="1" applyAlignment="1"/>
    <xf numFmtId="0" fontId="37" fillId="0" borderId="0" xfId="0" applyFont="1" applyAlignme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172" fontId="39" fillId="0" borderId="0" xfId="0" applyNumberFormat="1" applyFont="1" applyAlignment="1">
      <alignment vertical="center" wrapText="1"/>
    </xf>
    <xf numFmtId="0" fontId="39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/>
    <cellStyle name="Normal_A (2)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V1223 Tau - O-C Diagr.</a:t>
            </a:r>
          </a:p>
        </c:rich>
      </c:tx>
      <c:layout>
        <c:manualLayout>
          <c:xMode val="edge"/>
          <c:yMode val="edge"/>
          <c:x val="0.3684210526315789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1'!$D$21:$D$238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6342.5</c:v>
                </c:pt>
                <c:pt idx="2">
                  <c:v>7335</c:v>
                </c:pt>
                <c:pt idx="3">
                  <c:v>8037.5</c:v>
                </c:pt>
                <c:pt idx="4">
                  <c:v>9806.5</c:v>
                </c:pt>
                <c:pt idx="5">
                  <c:v>9815.5</c:v>
                </c:pt>
                <c:pt idx="6">
                  <c:v>9835.5</c:v>
                </c:pt>
                <c:pt idx="7">
                  <c:v>11416.5</c:v>
                </c:pt>
                <c:pt idx="8">
                  <c:v>11480</c:v>
                </c:pt>
                <c:pt idx="9">
                  <c:v>12273</c:v>
                </c:pt>
                <c:pt idx="10">
                  <c:v>15480</c:v>
                </c:pt>
                <c:pt idx="11">
                  <c:v>16412</c:v>
                </c:pt>
              </c:numCache>
            </c:numRef>
          </c:xVal>
          <c:yVal>
            <c:numRef>
              <c:f>'Active 1'!$H$21:$H$998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EB-4AAA-A130-D5B5C1D87FA2}"/>
            </c:ext>
          </c:extLst>
        </c:ser>
        <c:ser>
          <c:idx val="1"/>
          <c:order val="1"/>
          <c:tx>
            <c:strRef>
              <c:f>'Active 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6342.5</c:v>
                </c:pt>
                <c:pt idx="2">
                  <c:v>7335</c:v>
                </c:pt>
                <c:pt idx="3">
                  <c:v>8037.5</c:v>
                </c:pt>
                <c:pt idx="4">
                  <c:v>9806.5</c:v>
                </c:pt>
                <c:pt idx="5">
                  <c:v>9815.5</c:v>
                </c:pt>
                <c:pt idx="6">
                  <c:v>9835.5</c:v>
                </c:pt>
                <c:pt idx="7">
                  <c:v>11416.5</c:v>
                </c:pt>
                <c:pt idx="8">
                  <c:v>11480</c:v>
                </c:pt>
                <c:pt idx="9">
                  <c:v>12273</c:v>
                </c:pt>
                <c:pt idx="10">
                  <c:v>15480</c:v>
                </c:pt>
                <c:pt idx="11">
                  <c:v>16412</c:v>
                </c:pt>
              </c:numCache>
            </c:numRef>
          </c:xVal>
          <c:yVal>
            <c:numRef>
              <c:f>'Active 1'!$I$21:$I$998</c:f>
              <c:numCache>
                <c:formatCode>General</c:formatCode>
                <c:ptCount val="978"/>
                <c:pt idx="1">
                  <c:v>-5.2500000310828909E-4</c:v>
                </c:pt>
                <c:pt idx="2">
                  <c:v>1.1949999992793892E-2</c:v>
                </c:pt>
                <c:pt idx="3">
                  <c:v>8.4624999995867256E-2</c:v>
                </c:pt>
                <c:pt idx="4">
                  <c:v>-6.6845000001194421E-2</c:v>
                </c:pt>
                <c:pt idx="5">
                  <c:v>-7.4415000010048971E-2</c:v>
                </c:pt>
                <c:pt idx="6">
                  <c:v>-7.8515000001061708E-2</c:v>
                </c:pt>
                <c:pt idx="7">
                  <c:v>3.5954999999376014E-2</c:v>
                </c:pt>
                <c:pt idx="8">
                  <c:v>2.5199999996402767E-2</c:v>
                </c:pt>
                <c:pt idx="9">
                  <c:v>8.120999999664491E-2</c:v>
                </c:pt>
                <c:pt idx="10">
                  <c:v>7.1900000002642628E-2</c:v>
                </c:pt>
                <c:pt idx="11">
                  <c:v>9.8739999993995298E-2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EB-4AAA-A130-D5B5C1D87FA2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6342.5</c:v>
                </c:pt>
                <c:pt idx="2">
                  <c:v>7335</c:v>
                </c:pt>
                <c:pt idx="3">
                  <c:v>8037.5</c:v>
                </c:pt>
                <c:pt idx="4">
                  <c:v>9806.5</c:v>
                </c:pt>
                <c:pt idx="5">
                  <c:v>9815.5</c:v>
                </c:pt>
                <c:pt idx="6">
                  <c:v>9835.5</c:v>
                </c:pt>
                <c:pt idx="7">
                  <c:v>11416.5</c:v>
                </c:pt>
                <c:pt idx="8">
                  <c:v>11480</c:v>
                </c:pt>
                <c:pt idx="9">
                  <c:v>12273</c:v>
                </c:pt>
                <c:pt idx="10">
                  <c:v>15480</c:v>
                </c:pt>
                <c:pt idx="11">
                  <c:v>16412</c:v>
                </c:pt>
              </c:numCache>
            </c:numRef>
          </c:xVal>
          <c:yVal>
            <c:numRef>
              <c:f>'Active 1'!$J$21:$J$998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EB-4AAA-A130-D5B5C1D87FA2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6342.5</c:v>
                </c:pt>
                <c:pt idx="2">
                  <c:v>7335</c:v>
                </c:pt>
                <c:pt idx="3">
                  <c:v>8037.5</c:v>
                </c:pt>
                <c:pt idx="4">
                  <c:v>9806.5</c:v>
                </c:pt>
                <c:pt idx="5">
                  <c:v>9815.5</c:v>
                </c:pt>
                <c:pt idx="6">
                  <c:v>9835.5</c:v>
                </c:pt>
                <c:pt idx="7">
                  <c:v>11416.5</c:v>
                </c:pt>
                <c:pt idx="8">
                  <c:v>11480</c:v>
                </c:pt>
                <c:pt idx="9">
                  <c:v>12273</c:v>
                </c:pt>
                <c:pt idx="10">
                  <c:v>15480</c:v>
                </c:pt>
                <c:pt idx="11">
                  <c:v>16412</c:v>
                </c:pt>
              </c:numCache>
            </c:numRef>
          </c:xVal>
          <c:yVal>
            <c:numRef>
              <c:f>'Active 1'!$K$21:$K$998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EB-4AAA-A130-D5B5C1D87FA2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6342.5</c:v>
                </c:pt>
                <c:pt idx="2">
                  <c:v>7335</c:v>
                </c:pt>
                <c:pt idx="3">
                  <c:v>8037.5</c:v>
                </c:pt>
                <c:pt idx="4">
                  <c:v>9806.5</c:v>
                </c:pt>
                <c:pt idx="5">
                  <c:v>9815.5</c:v>
                </c:pt>
                <c:pt idx="6">
                  <c:v>9835.5</c:v>
                </c:pt>
                <c:pt idx="7">
                  <c:v>11416.5</c:v>
                </c:pt>
                <c:pt idx="8">
                  <c:v>11480</c:v>
                </c:pt>
                <c:pt idx="9">
                  <c:v>12273</c:v>
                </c:pt>
                <c:pt idx="10">
                  <c:v>15480</c:v>
                </c:pt>
                <c:pt idx="11">
                  <c:v>16412</c:v>
                </c:pt>
              </c:numCache>
            </c:numRef>
          </c:xVal>
          <c:yVal>
            <c:numRef>
              <c:f>'Active 1'!$L$21:$L$998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EB-4AAA-A130-D5B5C1D87FA2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6342.5</c:v>
                </c:pt>
                <c:pt idx="2">
                  <c:v>7335</c:v>
                </c:pt>
                <c:pt idx="3">
                  <c:v>8037.5</c:v>
                </c:pt>
                <c:pt idx="4">
                  <c:v>9806.5</c:v>
                </c:pt>
                <c:pt idx="5">
                  <c:v>9815.5</c:v>
                </c:pt>
                <c:pt idx="6">
                  <c:v>9835.5</c:v>
                </c:pt>
                <c:pt idx="7">
                  <c:v>11416.5</c:v>
                </c:pt>
                <c:pt idx="8">
                  <c:v>11480</c:v>
                </c:pt>
                <c:pt idx="9">
                  <c:v>12273</c:v>
                </c:pt>
                <c:pt idx="10">
                  <c:v>15480</c:v>
                </c:pt>
                <c:pt idx="11">
                  <c:v>16412</c:v>
                </c:pt>
              </c:numCache>
            </c:numRef>
          </c:xVal>
          <c:yVal>
            <c:numRef>
              <c:f>'Active 1'!$M$21:$M$998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FEB-4AAA-A130-D5B5C1D87FA2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6342.5</c:v>
                </c:pt>
                <c:pt idx="2">
                  <c:v>7335</c:v>
                </c:pt>
                <c:pt idx="3">
                  <c:v>8037.5</c:v>
                </c:pt>
                <c:pt idx="4">
                  <c:v>9806.5</c:v>
                </c:pt>
                <c:pt idx="5">
                  <c:v>9815.5</c:v>
                </c:pt>
                <c:pt idx="6">
                  <c:v>9835.5</c:v>
                </c:pt>
                <c:pt idx="7">
                  <c:v>11416.5</c:v>
                </c:pt>
                <c:pt idx="8">
                  <c:v>11480</c:v>
                </c:pt>
                <c:pt idx="9">
                  <c:v>12273</c:v>
                </c:pt>
                <c:pt idx="10">
                  <c:v>15480</c:v>
                </c:pt>
                <c:pt idx="11">
                  <c:v>16412</c:v>
                </c:pt>
              </c:numCache>
            </c:numRef>
          </c:xVal>
          <c:yVal>
            <c:numRef>
              <c:f>'Active 1'!$N$21:$N$998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FEB-4AAA-A130-D5B5C1D87FA2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6342.5</c:v>
                </c:pt>
                <c:pt idx="2">
                  <c:v>7335</c:v>
                </c:pt>
                <c:pt idx="3">
                  <c:v>8037.5</c:v>
                </c:pt>
                <c:pt idx="4">
                  <c:v>9806.5</c:v>
                </c:pt>
                <c:pt idx="5">
                  <c:v>9815.5</c:v>
                </c:pt>
                <c:pt idx="6">
                  <c:v>9835.5</c:v>
                </c:pt>
                <c:pt idx="7">
                  <c:v>11416.5</c:v>
                </c:pt>
                <c:pt idx="8">
                  <c:v>11480</c:v>
                </c:pt>
                <c:pt idx="9">
                  <c:v>12273</c:v>
                </c:pt>
                <c:pt idx="10">
                  <c:v>15480</c:v>
                </c:pt>
                <c:pt idx="11">
                  <c:v>16412</c:v>
                </c:pt>
              </c:numCache>
            </c:numRef>
          </c:xVal>
          <c:yVal>
            <c:numRef>
              <c:f>'Active 1'!$O$21:$O$998</c:f>
              <c:numCache>
                <c:formatCode>General</c:formatCode>
                <c:ptCount val="978"/>
                <c:pt idx="0">
                  <c:v>-0.13569859570663206</c:v>
                </c:pt>
                <c:pt idx="1">
                  <c:v>-5.157198760219775E-2</c:v>
                </c:pt>
                <c:pt idx="2">
                  <c:v>-3.8407516408874756E-2</c:v>
                </c:pt>
                <c:pt idx="3">
                  <c:v>-2.9089590954658739E-2</c:v>
                </c:pt>
                <c:pt idx="4">
                  <c:v>-5.6256619461062252E-3</c:v>
                </c:pt>
                <c:pt idx="5">
                  <c:v>-5.5062863886856661E-3</c:v>
                </c:pt>
                <c:pt idx="6">
                  <c:v>-5.2410073721955164E-3</c:v>
                </c:pt>
                <c:pt idx="7">
                  <c:v>1.5729298881349718E-2</c:v>
                </c:pt>
                <c:pt idx="8">
                  <c:v>1.6571559758705889E-2</c:v>
                </c:pt>
                <c:pt idx="9">
                  <c:v>2.7089872762539768E-2</c:v>
                </c:pt>
                <c:pt idx="10">
                  <c:v>6.962736305673306E-2</c:v>
                </c:pt>
                <c:pt idx="11">
                  <c:v>8.1989365225173388E-2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FEB-4AAA-A130-D5B5C1D87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60768"/>
        <c:axId val="1"/>
      </c:scatterChart>
      <c:valAx>
        <c:axId val="76196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9607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812030075187969"/>
          <c:y val="0.92397937099967764"/>
          <c:w val="0.65563909774436091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V1223 Tau - O-C Diagr.</a:t>
            </a:r>
          </a:p>
        </c:rich>
      </c:tx>
      <c:layout>
        <c:manualLayout>
          <c:xMode val="edge"/>
          <c:yMode val="edge"/>
          <c:x val="0.3684210526315789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6345.5</c:v>
                </c:pt>
                <c:pt idx="2">
                  <c:v>7338.5</c:v>
                </c:pt>
                <c:pt idx="3">
                  <c:v>8041.5</c:v>
                </c:pt>
                <c:pt idx="4">
                  <c:v>9811</c:v>
                </c:pt>
                <c:pt idx="5">
                  <c:v>9820</c:v>
                </c:pt>
                <c:pt idx="6">
                  <c:v>9840</c:v>
                </c:pt>
                <c:pt idx="7">
                  <c:v>11422</c:v>
                </c:pt>
                <c:pt idx="8">
                  <c:v>11485.5</c:v>
                </c:pt>
                <c:pt idx="9">
                  <c:v>12279</c:v>
                </c:pt>
                <c:pt idx="10">
                  <c:v>15487.5</c:v>
                </c:pt>
                <c:pt idx="11">
                  <c:v>16420</c:v>
                </c:pt>
              </c:numCache>
            </c:numRef>
          </c:xVal>
          <c:yVal>
            <c:numRef>
              <c:f>'Active 2'!$H$21:$H$999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13-4600-A2B9-32B2CE201892}"/>
            </c:ext>
          </c:extLst>
        </c:ser>
        <c:ser>
          <c:idx val="1"/>
          <c:order val="1"/>
          <c:tx>
            <c:strRef>
              <c:f>'Active 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6345.5</c:v>
                </c:pt>
                <c:pt idx="2">
                  <c:v>7338.5</c:v>
                </c:pt>
                <c:pt idx="3">
                  <c:v>8041.5</c:v>
                </c:pt>
                <c:pt idx="4">
                  <c:v>9811</c:v>
                </c:pt>
                <c:pt idx="5">
                  <c:v>9820</c:v>
                </c:pt>
                <c:pt idx="6">
                  <c:v>9840</c:v>
                </c:pt>
                <c:pt idx="7">
                  <c:v>11422</c:v>
                </c:pt>
                <c:pt idx="8">
                  <c:v>11485.5</c:v>
                </c:pt>
                <c:pt idx="9">
                  <c:v>12279</c:v>
                </c:pt>
                <c:pt idx="10">
                  <c:v>15487.5</c:v>
                </c:pt>
                <c:pt idx="11">
                  <c:v>16420</c:v>
                </c:pt>
              </c:numCache>
            </c:numRef>
          </c:xVal>
          <c:yVal>
            <c:numRef>
              <c:f>'Active 2'!$I$21:$I$999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13-4600-A2B9-32B2CE201892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6345.5</c:v>
                </c:pt>
                <c:pt idx="2">
                  <c:v>7338.5</c:v>
                </c:pt>
                <c:pt idx="3">
                  <c:v>8041.5</c:v>
                </c:pt>
                <c:pt idx="4">
                  <c:v>9811</c:v>
                </c:pt>
                <c:pt idx="5">
                  <c:v>9820</c:v>
                </c:pt>
                <c:pt idx="6">
                  <c:v>9840</c:v>
                </c:pt>
                <c:pt idx="7">
                  <c:v>11422</c:v>
                </c:pt>
                <c:pt idx="8">
                  <c:v>11485.5</c:v>
                </c:pt>
                <c:pt idx="9">
                  <c:v>12279</c:v>
                </c:pt>
                <c:pt idx="10">
                  <c:v>15487.5</c:v>
                </c:pt>
                <c:pt idx="11">
                  <c:v>16420</c:v>
                </c:pt>
              </c:numCache>
            </c:numRef>
          </c:xVal>
          <c:yVal>
            <c:numRef>
              <c:f>'Active 2'!$J$21:$J$999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13-4600-A2B9-32B2CE201892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6345.5</c:v>
                </c:pt>
                <c:pt idx="2">
                  <c:v>7338.5</c:v>
                </c:pt>
                <c:pt idx="3">
                  <c:v>8041.5</c:v>
                </c:pt>
                <c:pt idx="4">
                  <c:v>9811</c:v>
                </c:pt>
                <c:pt idx="5">
                  <c:v>9820</c:v>
                </c:pt>
                <c:pt idx="6">
                  <c:v>9840</c:v>
                </c:pt>
                <c:pt idx="7">
                  <c:v>11422</c:v>
                </c:pt>
                <c:pt idx="8">
                  <c:v>11485.5</c:v>
                </c:pt>
                <c:pt idx="9">
                  <c:v>12279</c:v>
                </c:pt>
                <c:pt idx="10">
                  <c:v>15487.5</c:v>
                </c:pt>
                <c:pt idx="11">
                  <c:v>16420</c:v>
                </c:pt>
              </c:numCache>
            </c:numRef>
          </c:xVal>
          <c:yVal>
            <c:numRef>
              <c:f>'Active 2'!$K$21:$K$999</c:f>
              <c:numCache>
                <c:formatCode>General</c:formatCode>
                <c:ptCount val="979"/>
                <c:pt idx="1">
                  <c:v>3.3309999998891726E-3</c:v>
                </c:pt>
                <c:pt idx="2">
                  <c:v>2.7569999947445467E-3</c:v>
                </c:pt>
                <c:pt idx="3">
                  <c:v>9.0300000010756776E-4</c:v>
                </c:pt>
                <c:pt idx="4">
                  <c:v>1.0019999972428195E-3</c:v>
                </c:pt>
                <c:pt idx="5">
                  <c:v>-4.6600000059697777E-3</c:v>
                </c:pt>
                <c:pt idx="6">
                  <c:v>-4.5200000022305176E-3</c:v>
                </c:pt>
                <c:pt idx="7">
                  <c:v>-1.7960000041057356E-3</c:v>
                </c:pt>
                <c:pt idx="8">
                  <c:v>9.1099999553989619E-4</c:v>
                </c:pt>
                <c:pt idx="9">
                  <c:v>1.5779999957885593E-3</c:v>
                </c:pt>
                <c:pt idx="10">
                  <c:v>1.7749999969964847E-3</c:v>
                </c:pt>
                <c:pt idx="11">
                  <c:v>2.7399999962653965E-3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13-4600-A2B9-32B2CE201892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6345.5</c:v>
                </c:pt>
                <c:pt idx="2">
                  <c:v>7338.5</c:v>
                </c:pt>
                <c:pt idx="3">
                  <c:v>8041.5</c:v>
                </c:pt>
                <c:pt idx="4">
                  <c:v>9811</c:v>
                </c:pt>
                <c:pt idx="5">
                  <c:v>9820</c:v>
                </c:pt>
                <c:pt idx="6">
                  <c:v>9840</c:v>
                </c:pt>
                <c:pt idx="7">
                  <c:v>11422</c:v>
                </c:pt>
                <c:pt idx="8">
                  <c:v>11485.5</c:v>
                </c:pt>
                <c:pt idx="9">
                  <c:v>12279</c:v>
                </c:pt>
                <c:pt idx="10">
                  <c:v>15487.5</c:v>
                </c:pt>
                <c:pt idx="11">
                  <c:v>16420</c:v>
                </c:pt>
              </c:numCache>
            </c:numRef>
          </c:xVal>
          <c:yVal>
            <c:numRef>
              <c:f>'Active 2'!$L$21:$L$999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13-4600-A2B9-32B2CE201892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6345.5</c:v>
                </c:pt>
                <c:pt idx="2">
                  <c:v>7338.5</c:v>
                </c:pt>
                <c:pt idx="3">
                  <c:v>8041.5</c:v>
                </c:pt>
                <c:pt idx="4">
                  <c:v>9811</c:v>
                </c:pt>
                <c:pt idx="5">
                  <c:v>9820</c:v>
                </c:pt>
                <c:pt idx="6">
                  <c:v>9840</c:v>
                </c:pt>
                <c:pt idx="7">
                  <c:v>11422</c:v>
                </c:pt>
                <c:pt idx="8">
                  <c:v>11485.5</c:v>
                </c:pt>
                <c:pt idx="9">
                  <c:v>12279</c:v>
                </c:pt>
                <c:pt idx="10">
                  <c:v>15487.5</c:v>
                </c:pt>
                <c:pt idx="11">
                  <c:v>16420</c:v>
                </c:pt>
              </c:numCache>
            </c:numRef>
          </c:xVal>
          <c:yVal>
            <c:numRef>
              <c:f>'Active 2'!$M$21:$M$999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A13-4600-A2B9-32B2CE201892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8.0000000000000004E-4</c:v>
                  </c:pt>
                  <c:pt idx="3">
                    <c:v>6.9999999999999999E-4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0</c:v>
                  </c:pt>
                  <c:pt idx="9">
                    <c:v>2.0000000000000001E-4</c:v>
                  </c:pt>
                  <c:pt idx="10">
                    <c:v>1E-4</c:v>
                  </c:pt>
                  <c:pt idx="1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6345.5</c:v>
                </c:pt>
                <c:pt idx="2">
                  <c:v>7338.5</c:v>
                </c:pt>
                <c:pt idx="3">
                  <c:v>8041.5</c:v>
                </c:pt>
                <c:pt idx="4">
                  <c:v>9811</c:v>
                </c:pt>
                <c:pt idx="5">
                  <c:v>9820</c:v>
                </c:pt>
                <c:pt idx="6">
                  <c:v>9840</c:v>
                </c:pt>
                <c:pt idx="7">
                  <c:v>11422</c:v>
                </c:pt>
                <c:pt idx="8">
                  <c:v>11485.5</c:v>
                </c:pt>
                <c:pt idx="9">
                  <c:v>12279</c:v>
                </c:pt>
                <c:pt idx="10">
                  <c:v>15487.5</c:v>
                </c:pt>
                <c:pt idx="11">
                  <c:v>16420</c:v>
                </c:pt>
              </c:numCache>
            </c:numRef>
          </c:xVal>
          <c:yVal>
            <c:numRef>
              <c:f>'Active 2'!$N$21:$N$999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A13-4600-A2B9-32B2CE201892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6345.5</c:v>
                </c:pt>
                <c:pt idx="2">
                  <c:v>7338.5</c:v>
                </c:pt>
                <c:pt idx="3">
                  <c:v>8041.5</c:v>
                </c:pt>
                <c:pt idx="4">
                  <c:v>9811</c:v>
                </c:pt>
                <c:pt idx="5">
                  <c:v>9820</c:v>
                </c:pt>
                <c:pt idx="6">
                  <c:v>9840</c:v>
                </c:pt>
                <c:pt idx="7">
                  <c:v>11422</c:v>
                </c:pt>
                <c:pt idx="8">
                  <c:v>11485.5</c:v>
                </c:pt>
                <c:pt idx="9">
                  <c:v>12279</c:v>
                </c:pt>
                <c:pt idx="10">
                  <c:v>15487.5</c:v>
                </c:pt>
                <c:pt idx="11">
                  <c:v>16420</c:v>
                </c:pt>
              </c:numCache>
            </c:numRef>
          </c:xVal>
          <c:yVal>
            <c:numRef>
              <c:f>'Active 2'!$O$21:$O$999</c:f>
              <c:numCache>
                <c:formatCode>General</c:formatCode>
                <c:ptCount val="979"/>
                <c:pt idx="0">
                  <c:v>-3.7289694334313798E-4</c:v>
                </c:pt>
                <c:pt idx="1">
                  <c:v>6.2840908530748018E-5</c:v>
                </c:pt>
                <c:pt idx="2">
                  <c:v>1.3102902403161774E-4</c:v>
                </c:pt>
                <c:pt idx="3">
                  <c:v>1.7930318837916195E-4</c:v>
                </c:pt>
                <c:pt idx="4">
                  <c:v>3.0081262481298777E-4</c:v>
                </c:pt>
                <c:pt idx="5">
                  <c:v>3.0143064398671166E-4</c:v>
                </c:pt>
                <c:pt idx="6">
                  <c:v>3.0280401992832028E-4</c:v>
                </c:pt>
                <c:pt idx="7">
                  <c:v>4.1143805690956487E-4</c:v>
                </c:pt>
                <c:pt idx="8">
                  <c:v>4.157985255241724E-4</c:v>
                </c:pt>
                <c:pt idx="9">
                  <c:v>4.702872160074957E-4</c:v>
                </c:pt>
                <c:pt idx="10">
                  <c:v>6.9061105144006428E-4</c:v>
                </c:pt>
                <c:pt idx="11">
                  <c:v>7.5464470471756778E-4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A13-4600-A2B9-32B2CE201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987712"/>
        <c:axId val="1"/>
      </c:scatterChart>
      <c:valAx>
        <c:axId val="899987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9877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63909774436089"/>
          <c:y val="0.92397937099967764"/>
          <c:w val="0.65112781954887222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17</xdr:col>
      <xdr:colOff>142875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738F5C9E-41CD-6B26-DC22-0E8FEC0DC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17</xdr:col>
      <xdr:colOff>142875</xdr:colOff>
      <xdr:row>19</xdr:row>
      <xdr:rowOff>0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2F27DEFC-EC05-A183-FE7C-554A30B9D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39"/>
  <sheetViews>
    <sheetView tabSelected="1" workbookViewId="0">
      <selection activeCell="F13" sqref="F13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0.85546875" customWidth="1"/>
    <col min="6" max="6" width="15.42578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45</v>
      </c>
    </row>
    <row r="2" spans="1:6" x14ac:dyDescent="0.2">
      <c r="A2" t="s">
        <v>32</v>
      </c>
      <c r="B2" s="30" t="s">
        <v>50</v>
      </c>
      <c r="C2" s="3"/>
      <c r="D2" s="3"/>
    </row>
    <row r="3" spans="1:6" ht="13.5" thickBot="1" x14ac:dyDescent="0.25"/>
    <row r="4" spans="1:6" ht="14.25" thickTop="1" thickBot="1" x14ac:dyDescent="0.25">
      <c r="A4" s="5" t="s">
        <v>8</v>
      </c>
      <c r="C4" s="8" t="s">
        <v>49</v>
      </c>
      <c r="D4" s="9" t="s">
        <v>49</v>
      </c>
    </row>
    <row r="5" spans="1:6" ht="13.5" thickTop="1" x14ac:dyDescent="0.2">
      <c r="A5" s="11" t="s">
        <v>39</v>
      </c>
      <c r="B5" s="12"/>
      <c r="C5" s="13">
        <v>-9.5</v>
      </c>
      <c r="D5" s="12" t="s">
        <v>40</v>
      </c>
    </row>
    <row r="6" spans="1:6" x14ac:dyDescent="0.2">
      <c r="A6" s="5" t="s">
        <v>9</v>
      </c>
    </row>
    <row r="7" spans="1:6" x14ac:dyDescent="0.2">
      <c r="A7" t="s">
        <v>10</v>
      </c>
      <c r="C7">
        <v>52264.982000000004</v>
      </c>
      <c r="D7" s="28" t="s">
        <v>48</v>
      </c>
    </row>
    <row r="8" spans="1:6" x14ac:dyDescent="0.2">
      <c r="A8" t="s">
        <v>11</v>
      </c>
      <c r="C8">
        <v>0.44713000000000003</v>
      </c>
      <c r="D8" s="28" t="s">
        <v>48</v>
      </c>
      <c r="E8" s="43" t="s">
        <v>58</v>
      </c>
      <c r="F8" s="43"/>
    </row>
    <row r="9" spans="1:6" x14ac:dyDescent="0.2">
      <c r="A9" s="26" t="s">
        <v>44</v>
      </c>
      <c r="C9" s="27">
        <v>22</v>
      </c>
      <c r="D9" s="24" t="str">
        <f>"F"&amp;C9</f>
        <v>F22</v>
      </c>
      <c r="E9" s="25" t="str">
        <f>"G"&amp;C9</f>
        <v>G22</v>
      </c>
    </row>
    <row r="10" spans="1:6" ht="13.5" thickBot="1" x14ac:dyDescent="0.25">
      <c r="A10" s="12"/>
      <c r="B10" s="12"/>
      <c r="C10" s="4" t="s">
        <v>28</v>
      </c>
      <c r="D10" s="4" t="s">
        <v>29</v>
      </c>
      <c r="E10" s="12"/>
    </row>
    <row r="11" spans="1:6" x14ac:dyDescent="0.2">
      <c r="A11" s="12" t="s">
        <v>23</v>
      </c>
      <c r="B11" s="12"/>
      <c r="C11" s="23">
        <f ca="1">INTERCEPT(INDIRECT($E$9):G991,INDIRECT($D$9):F991)</f>
        <v>-0.13569859570663206</v>
      </c>
      <c r="D11" s="3"/>
      <c r="E11" s="12"/>
    </row>
    <row r="12" spans="1:6" x14ac:dyDescent="0.2">
      <c r="A12" s="12" t="s">
        <v>24</v>
      </c>
      <c r="B12" s="12"/>
      <c r="C12" s="23">
        <f ca="1">SLOPE(INDIRECT($E$9):G991,INDIRECT($D$9):F991)</f>
        <v>1.3263950824506791E-5</v>
      </c>
      <c r="D12" s="3"/>
      <c r="E12" s="12"/>
    </row>
    <row r="13" spans="1:6" x14ac:dyDescent="0.2">
      <c r="A13" s="12" t="s">
        <v>27</v>
      </c>
      <c r="B13" s="12"/>
      <c r="C13" s="3" t="s">
        <v>21</v>
      </c>
    </row>
    <row r="14" spans="1:6" x14ac:dyDescent="0.2">
      <c r="A14" s="12"/>
      <c r="B14" s="12"/>
      <c r="C14" s="12"/>
    </row>
    <row r="15" spans="1:6" x14ac:dyDescent="0.2">
      <c r="A15" s="14" t="s">
        <v>25</v>
      </c>
      <c r="B15" s="12"/>
      <c r="C15" s="15">
        <f ca="1">(C7+C11)+(C8+C12)*INT(MAX(F21:F3532))</f>
        <v>59603.361549365225</v>
      </c>
      <c r="E15" s="16" t="s">
        <v>51</v>
      </c>
      <c r="F15" s="13">
        <v>1</v>
      </c>
    </row>
    <row r="16" spans="1:6" x14ac:dyDescent="0.2">
      <c r="A16" s="18" t="s">
        <v>12</v>
      </c>
      <c r="B16" s="12"/>
      <c r="C16" s="19">
        <f ca="1">+C8+C12</f>
        <v>0.44714326395082454</v>
      </c>
      <c r="E16" s="16" t="s">
        <v>41</v>
      </c>
      <c r="F16" s="17">
        <f ca="1">NOW()+15018.5+$C$5/24</f>
        <v>59968.855796990742</v>
      </c>
    </row>
    <row r="17" spans="1:17" ht="13.5" thickBot="1" x14ac:dyDescent="0.25">
      <c r="A17" s="16" t="s">
        <v>38</v>
      </c>
      <c r="B17" s="12"/>
      <c r="C17" s="12">
        <f>COUNT(C21:C2190)</f>
        <v>12</v>
      </c>
      <c r="E17" s="16" t="s">
        <v>52</v>
      </c>
      <c r="F17" s="17">
        <f ca="1">ROUND(2*(F16-$C$7)/$C$8,0)/2+F15</f>
        <v>17230.5</v>
      </c>
    </row>
    <row r="18" spans="1:17" ht="14.25" thickTop="1" thickBot="1" x14ac:dyDescent="0.25">
      <c r="A18" s="18" t="s">
        <v>13</v>
      </c>
      <c r="B18" s="12"/>
      <c r="C18" s="21">
        <f ca="1">+C15</f>
        <v>59603.361549365225</v>
      </c>
      <c r="D18" s="22">
        <f ca="1">+C16</f>
        <v>0.44714326395082454</v>
      </c>
      <c r="E18" s="16" t="s">
        <v>42</v>
      </c>
      <c r="F18" s="25">
        <f ca="1">ROUND(2*(F16-$C$15)/$C$16,0)/2+F15</f>
        <v>818.5</v>
      </c>
    </row>
    <row r="19" spans="1:17" ht="13.5" thickTop="1" x14ac:dyDescent="0.2">
      <c r="E19" s="16" t="s">
        <v>43</v>
      </c>
      <c r="F19" s="20">
        <f ca="1">+$C$15+$C$16*F18-15018.5-$C$5/24</f>
        <v>44951.244144242308</v>
      </c>
    </row>
    <row r="20" spans="1:17" ht="13.5" thickBot="1" x14ac:dyDescent="0.25">
      <c r="A20" s="4" t="s">
        <v>14</v>
      </c>
      <c r="B20" s="4" t="s">
        <v>15</v>
      </c>
      <c r="C20" s="4" t="s">
        <v>16</v>
      </c>
      <c r="D20" s="4" t="s">
        <v>20</v>
      </c>
      <c r="E20" s="4" t="s">
        <v>17</v>
      </c>
      <c r="F20" s="4" t="s">
        <v>18</v>
      </c>
      <c r="G20" s="4" t="s">
        <v>19</v>
      </c>
      <c r="H20" s="29" t="s">
        <v>48</v>
      </c>
      <c r="I20" s="7" t="s">
        <v>37</v>
      </c>
      <c r="J20" s="7" t="s">
        <v>26</v>
      </c>
      <c r="K20" s="7" t="s">
        <v>33</v>
      </c>
      <c r="L20" s="7" t="s">
        <v>34</v>
      </c>
      <c r="M20" s="7" t="s">
        <v>35</v>
      </c>
      <c r="N20" s="7" t="s">
        <v>36</v>
      </c>
      <c r="O20" s="7" t="s">
        <v>31</v>
      </c>
      <c r="P20" s="6" t="s">
        <v>30</v>
      </c>
      <c r="Q20" s="4" t="s">
        <v>22</v>
      </c>
    </row>
    <row r="21" spans="1:17" x14ac:dyDescent="0.2">
      <c r="A21" t="s">
        <v>48</v>
      </c>
      <c r="C21" s="10">
        <v>52264.982000000004</v>
      </c>
      <c r="D21" s="10" t="s">
        <v>21</v>
      </c>
      <c r="E21">
        <f t="shared" ref="E21:E27" si="0">+(C21-C$7)/C$8</f>
        <v>0</v>
      </c>
      <c r="F21">
        <f t="shared" ref="F21:F27" si="1">ROUND(2*E21,0)/2</f>
        <v>0</v>
      </c>
      <c r="G21">
        <f>+C21-(C$7+F21*C$8)</f>
        <v>0</v>
      </c>
      <c r="H21">
        <f>+G21</f>
        <v>0</v>
      </c>
      <c r="O21">
        <f t="shared" ref="O21:O27" ca="1" si="2">+C$11+C$12*$F21</f>
        <v>-0.13569859570663206</v>
      </c>
      <c r="Q21" s="2">
        <f t="shared" ref="Q21:Q27" si="3">+C21-15018.5</f>
        <v>37246.482000000004</v>
      </c>
    </row>
    <row r="22" spans="1:17" x14ac:dyDescent="0.2">
      <c r="A22" s="31" t="s">
        <v>46</v>
      </c>
      <c r="B22" s="32" t="s">
        <v>47</v>
      </c>
      <c r="C22" s="31">
        <v>55100.9035</v>
      </c>
      <c r="D22" s="31">
        <v>2.0000000000000001E-4</v>
      </c>
      <c r="E22">
        <f t="shared" si="0"/>
        <v>6342.4988258448248</v>
      </c>
      <c r="F22">
        <f t="shared" si="1"/>
        <v>6342.5</v>
      </c>
      <c r="G22">
        <f>+C22-(C$7+F22*C$8)</f>
        <v>-5.2500000310828909E-4</v>
      </c>
      <c r="I22">
        <f>+G22</f>
        <v>-5.2500000310828909E-4</v>
      </c>
      <c r="O22">
        <f t="shared" ca="1" si="2"/>
        <v>-5.157198760219775E-2</v>
      </c>
      <c r="Q22" s="2">
        <f t="shared" si="3"/>
        <v>40082.4035</v>
      </c>
    </row>
    <row r="23" spans="1:17" x14ac:dyDescent="0.2">
      <c r="A23" s="39" t="s">
        <v>53</v>
      </c>
      <c r="B23" s="40" t="s">
        <v>47</v>
      </c>
      <c r="C23" s="41">
        <v>55544.692499999997</v>
      </c>
      <c r="D23" s="41">
        <v>8.0000000000000004E-4</v>
      </c>
      <c r="E23">
        <f t="shared" si="0"/>
        <v>7335.0267260080818</v>
      </c>
      <c r="F23">
        <f t="shared" si="1"/>
        <v>7335</v>
      </c>
      <c r="G23">
        <f>+C23-(C$7+F23*C$8)</f>
        <v>1.1949999992793892E-2</v>
      </c>
      <c r="I23">
        <f>+G23</f>
        <v>1.1949999992793892E-2</v>
      </c>
      <c r="O23">
        <f t="shared" ca="1" si="2"/>
        <v>-3.8407516408874756E-2</v>
      </c>
      <c r="Q23" s="2">
        <f t="shared" si="3"/>
        <v>40526.192499999997</v>
      </c>
    </row>
    <row r="24" spans="1:17" x14ac:dyDescent="0.2">
      <c r="A24" s="33" t="s">
        <v>54</v>
      </c>
      <c r="B24" s="34" t="s">
        <v>47</v>
      </c>
      <c r="C24" s="33">
        <v>55858.874000000003</v>
      </c>
      <c r="D24" s="33">
        <v>6.9999999999999999E-4</v>
      </c>
      <c r="E24">
        <f t="shared" si="0"/>
        <v>8037.6892626305544</v>
      </c>
      <c r="F24">
        <f t="shared" si="1"/>
        <v>8037.5</v>
      </c>
      <c r="I24" s="35">
        <v>8.4624999995867256E-2</v>
      </c>
      <c r="O24">
        <f t="shared" ca="1" si="2"/>
        <v>-2.9089590954658739E-2</v>
      </c>
      <c r="Q24" s="2">
        <f t="shared" si="3"/>
        <v>40840.374000000003</v>
      </c>
    </row>
    <row r="25" spans="1:17" x14ac:dyDescent="0.2">
      <c r="A25" s="36" t="s">
        <v>55</v>
      </c>
      <c r="B25" s="37" t="s">
        <v>47</v>
      </c>
      <c r="C25" s="38">
        <v>56649.695500000002</v>
      </c>
      <c r="D25" s="38">
        <v>2.0000000000000001E-4</v>
      </c>
      <c r="E25">
        <f t="shared" si="0"/>
        <v>9806.3505020911089</v>
      </c>
      <c r="F25">
        <f t="shared" si="1"/>
        <v>9806.5</v>
      </c>
      <c r="G25">
        <f t="shared" ref="G25:G31" si="4">+C25-(C$7+F25*C$8)</f>
        <v>-6.6845000001194421E-2</v>
      </c>
      <c r="I25">
        <f t="shared" ref="I25:I31" si="5">+G25</f>
        <v>-6.6845000001194421E-2</v>
      </c>
      <c r="O25">
        <f t="shared" ca="1" si="2"/>
        <v>-5.6256619461062252E-3</v>
      </c>
      <c r="Q25" s="2">
        <f t="shared" si="3"/>
        <v>41631.195500000002</v>
      </c>
    </row>
    <row r="26" spans="1:17" x14ac:dyDescent="0.2">
      <c r="A26" s="36" t="s">
        <v>55</v>
      </c>
      <c r="B26" s="37" t="s">
        <v>47</v>
      </c>
      <c r="C26" s="38">
        <v>56653.712099999997</v>
      </c>
      <c r="D26" s="38">
        <v>2.0000000000000001E-4</v>
      </c>
      <c r="E26">
        <f t="shared" si="0"/>
        <v>9815.3335718918279</v>
      </c>
      <c r="F26">
        <f t="shared" si="1"/>
        <v>9815.5</v>
      </c>
      <c r="G26">
        <f t="shared" si="4"/>
        <v>-7.4415000010048971E-2</v>
      </c>
      <c r="I26">
        <f t="shared" si="5"/>
        <v>-7.4415000010048971E-2</v>
      </c>
      <c r="O26">
        <f t="shared" ca="1" si="2"/>
        <v>-5.5062863886856661E-3</v>
      </c>
      <c r="Q26" s="2">
        <f t="shared" si="3"/>
        <v>41635.212099999997</v>
      </c>
    </row>
    <row r="27" spans="1:17" x14ac:dyDescent="0.2">
      <c r="A27" s="36" t="s">
        <v>55</v>
      </c>
      <c r="B27" s="37" t="s">
        <v>47</v>
      </c>
      <c r="C27" s="38">
        <v>56662.650600000001</v>
      </c>
      <c r="D27" s="38">
        <v>2.0000000000000001E-4</v>
      </c>
      <c r="E27">
        <f t="shared" si="0"/>
        <v>9835.3244022991003</v>
      </c>
      <c r="F27">
        <f t="shared" si="1"/>
        <v>9835.5</v>
      </c>
      <c r="G27">
        <f t="shared" si="4"/>
        <v>-7.8515000001061708E-2</v>
      </c>
      <c r="I27">
        <f t="shared" si="5"/>
        <v>-7.8515000001061708E-2</v>
      </c>
      <c r="O27">
        <f t="shared" ca="1" si="2"/>
        <v>-5.2410073721955164E-3</v>
      </c>
      <c r="Q27" s="2">
        <f t="shared" si="3"/>
        <v>41644.150600000001</v>
      </c>
    </row>
    <row r="28" spans="1:17" x14ac:dyDescent="0.2">
      <c r="A28" s="49" t="s">
        <v>0</v>
      </c>
      <c r="B28" s="50" t="s">
        <v>47</v>
      </c>
      <c r="C28" s="49">
        <v>57369.677600000003</v>
      </c>
      <c r="D28" s="49">
        <v>1E-4</v>
      </c>
      <c r="E28">
        <f>+(C28-C$7)/C$8</f>
        <v>11416.580412855319</v>
      </c>
      <c r="F28">
        <f>ROUND(2*E28,0)/2</f>
        <v>11416.5</v>
      </c>
      <c r="G28">
        <f t="shared" si="4"/>
        <v>3.5954999999376014E-2</v>
      </c>
      <c r="I28">
        <f t="shared" si="5"/>
        <v>3.5954999999376014E-2</v>
      </c>
      <c r="O28">
        <f ca="1">+C$11+C$12*$F28</f>
        <v>1.5729298881349718E-2</v>
      </c>
      <c r="Q28" s="2">
        <f>+C28-15018.5</f>
        <v>42351.177600000003</v>
      </c>
    </row>
    <row r="29" spans="1:17" ht="12" customHeight="1" x14ac:dyDescent="0.2">
      <c r="A29" s="51" t="s">
        <v>2</v>
      </c>
      <c r="B29" s="52" t="s">
        <v>47</v>
      </c>
      <c r="C29" s="51">
        <v>57398.059600000001</v>
      </c>
      <c r="D29" s="51" t="s">
        <v>5</v>
      </c>
      <c r="E29">
        <f>+(C29-C$7)/C$8</f>
        <v>11480.056359448028</v>
      </c>
      <c r="F29">
        <f>ROUND(2*E29,0)/2</f>
        <v>11480</v>
      </c>
      <c r="G29">
        <f t="shared" si="4"/>
        <v>2.5199999996402767E-2</v>
      </c>
      <c r="I29">
        <f t="shared" si="5"/>
        <v>2.5199999996402767E-2</v>
      </c>
      <c r="O29">
        <f ca="1">+C$11+C$12*$F29</f>
        <v>1.6571559758705889E-2</v>
      </c>
      <c r="Q29" s="2">
        <f>+C29-15018.5</f>
        <v>42379.559600000001</v>
      </c>
    </row>
    <row r="30" spans="1:17" ht="12" customHeight="1" x14ac:dyDescent="0.2">
      <c r="A30" s="49" t="s">
        <v>1</v>
      </c>
      <c r="B30" s="50" t="s">
        <v>47</v>
      </c>
      <c r="C30" s="49">
        <v>57752.689700000003</v>
      </c>
      <c r="D30" s="49">
        <v>2.0000000000000001E-4</v>
      </c>
      <c r="E30">
        <f>+(C30-C$7)/C$8</f>
        <v>12273.181625030749</v>
      </c>
      <c r="F30">
        <f>ROUND(2*E30,0)/2</f>
        <v>12273</v>
      </c>
      <c r="G30">
        <f t="shared" si="4"/>
        <v>8.120999999664491E-2</v>
      </c>
      <c r="I30">
        <f t="shared" si="5"/>
        <v>8.120999999664491E-2</v>
      </c>
      <c r="O30">
        <f ca="1">+C$11+C$12*$F30</f>
        <v>2.7089872762539768E-2</v>
      </c>
      <c r="Q30" s="2">
        <f>+C30-15018.5</f>
        <v>42734.189700000003</v>
      </c>
    </row>
    <row r="31" spans="1:17" ht="12" customHeight="1" x14ac:dyDescent="0.2">
      <c r="A31" s="54" t="s">
        <v>60</v>
      </c>
      <c r="B31" s="55" t="s">
        <v>61</v>
      </c>
      <c r="C31" s="56">
        <v>59186.626300000004</v>
      </c>
      <c r="D31" s="56">
        <v>1E-4</v>
      </c>
      <c r="E31">
        <f>+(C31-C$7)/C$8</f>
        <v>15480.160803345781</v>
      </c>
      <c r="F31">
        <f>ROUND(2*E31,0)/2</f>
        <v>15480</v>
      </c>
      <c r="G31">
        <f t="shared" si="4"/>
        <v>7.1900000002642628E-2</v>
      </c>
      <c r="I31">
        <f t="shared" si="5"/>
        <v>7.1900000002642628E-2</v>
      </c>
      <c r="O31">
        <f ca="1">+C$11+C$12*$F31</f>
        <v>6.962736305673306E-2</v>
      </c>
      <c r="Q31" s="2">
        <f>+C31-15018.5</f>
        <v>44168.126300000004</v>
      </c>
    </row>
    <row r="32" spans="1:17" ht="12" customHeight="1" x14ac:dyDescent="0.2">
      <c r="A32" s="60" t="s">
        <v>62</v>
      </c>
      <c r="B32" s="58" t="s">
        <v>47</v>
      </c>
      <c r="C32" s="59">
        <v>59603.378299999997</v>
      </c>
      <c r="D32" s="57">
        <v>1E-4</v>
      </c>
      <c r="E32">
        <f>+(C32-C$7)/C$8</f>
        <v>16412.220830630897</v>
      </c>
      <c r="F32">
        <f>ROUND(2*E32,0)/2</f>
        <v>16412</v>
      </c>
      <c r="G32">
        <f t="shared" ref="G32" si="6">+C32-(C$7+F32*C$8)</f>
        <v>9.8739999993995298E-2</v>
      </c>
      <c r="I32">
        <f t="shared" ref="I32" si="7">+G32</f>
        <v>9.8739999993995298E-2</v>
      </c>
      <c r="O32">
        <f ca="1">+C$11+C$12*$F32</f>
        <v>8.1989365225173388E-2</v>
      </c>
      <c r="Q32" s="2">
        <f>+C32-15018.5</f>
        <v>44584.878299999997</v>
      </c>
    </row>
    <row r="33" spans="3:4" ht="12" customHeight="1" x14ac:dyDescent="0.2">
      <c r="C33" s="10"/>
      <c r="D33" s="10"/>
    </row>
    <row r="34" spans="3:4" ht="12" customHeight="1" x14ac:dyDescent="0.2">
      <c r="C34" s="10"/>
      <c r="D34" s="10"/>
    </row>
    <row r="35" spans="3:4" ht="12" customHeight="1" x14ac:dyDescent="0.2">
      <c r="C35" s="10"/>
      <c r="D35" s="10"/>
    </row>
    <row r="36" spans="3:4" ht="12" customHeight="1" x14ac:dyDescent="0.2">
      <c r="C36" s="10"/>
      <c r="D36" s="10"/>
    </row>
    <row r="37" spans="3:4" x14ac:dyDescent="0.2">
      <c r="C37" s="10"/>
      <c r="D37" s="10"/>
    </row>
    <row r="38" spans="3:4" x14ac:dyDescent="0.2">
      <c r="C38" s="10"/>
      <c r="D38" s="10"/>
    </row>
    <row r="39" spans="3:4" x14ac:dyDescent="0.2">
      <c r="C39" s="10"/>
      <c r="D39" s="10"/>
    </row>
    <row r="40" spans="3:4" x14ac:dyDescent="0.2">
      <c r="C40" s="10"/>
      <c r="D40" s="10"/>
    </row>
    <row r="41" spans="3:4" x14ac:dyDescent="0.2">
      <c r="C41" s="10"/>
      <c r="D41" s="10"/>
    </row>
    <row r="42" spans="3:4" x14ac:dyDescent="0.2">
      <c r="C42" s="10"/>
      <c r="D42" s="10"/>
    </row>
    <row r="43" spans="3:4" x14ac:dyDescent="0.2">
      <c r="C43" s="10"/>
      <c r="D43" s="10"/>
    </row>
    <row r="44" spans="3:4" x14ac:dyDescent="0.2">
      <c r="C44" s="10"/>
      <c r="D44" s="10"/>
    </row>
    <row r="45" spans="3:4" x14ac:dyDescent="0.2">
      <c r="C45" s="10"/>
      <c r="D45" s="10"/>
    </row>
    <row r="46" spans="3:4" x14ac:dyDescent="0.2">
      <c r="C46" s="10"/>
      <c r="D46" s="10"/>
    </row>
    <row r="47" spans="3:4" x14ac:dyDescent="0.2">
      <c r="C47" s="10"/>
      <c r="D47" s="10"/>
    </row>
    <row r="48" spans="3:4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940"/>
  <sheetViews>
    <sheetView workbookViewId="0">
      <selection activeCell="E31" sqref="E31:Q32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0.85546875" customWidth="1"/>
    <col min="6" max="6" width="15.42578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45</v>
      </c>
    </row>
    <row r="2" spans="1:6" x14ac:dyDescent="0.2">
      <c r="A2" t="s">
        <v>32</v>
      </c>
      <c r="B2" s="30" t="s">
        <v>50</v>
      </c>
      <c r="C2" s="3"/>
      <c r="D2" s="3"/>
    </row>
    <row r="3" spans="1:6" ht="13.5" thickBot="1" x14ac:dyDescent="0.25"/>
    <row r="4" spans="1:6" ht="14.25" thickTop="1" thickBot="1" x14ac:dyDescent="0.25">
      <c r="A4" s="5" t="s">
        <v>8</v>
      </c>
      <c r="C4" s="8" t="s">
        <v>49</v>
      </c>
      <c r="D4" s="9" t="s">
        <v>49</v>
      </c>
    </row>
    <row r="5" spans="1:6" ht="13.5" thickTop="1" x14ac:dyDescent="0.2">
      <c r="A5" s="11" t="s">
        <v>39</v>
      </c>
      <c r="B5" s="12"/>
      <c r="C5" s="13">
        <v>-9.5</v>
      </c>
      <c r="D5" s="12" t="s">
        <v>40</v>
      </c>
    </row>
    <row r="6" spans="1:6" x14ac:dyDescent="0.2">
      <c r="A6" s="5" t="s">
        <v>9</v>
      </c>
    </row>
    <row r="7" spans="1:6" x14ac:dyDescent="0.2">
      <c r="A7" t="s">
        <v>10</v>
      </c>
      <c r="C7">
        <v>52264.982000000004</v>
      </c>
      <c r="D7" s="28" t="s">
        <v>48</v>
      </c>
    </row>
    <row r="8" spans="1:6" x14ac:dyDescent="0.2">
      <c r="A8" t="s">
        <v>11</v>
      </c>
      <c r="C8">
        <v>0.44691799999999998</v>
      </c>
      <c r="D8" s="28" t="s">
        <v>56</v>
      </c>
      <c r="E8" s="53" t="s">
        <v>3</v>
      </c>
    </row>
    <row r="9" spans="1:6" x14ac:dyDescent="0.2">
      <c r="A9" s="26" t="s">
        <v>44</v>
      </c>
      <c r="C9" s="27">
        <v>22</v>
      </c>
      <c r="D9" s="24" t="str">
        <f>"F"&amp;C9</f>
        <v>F22</v>
      </c>
      <c r="E9" s="25" t="str">
        <f>"G"&amp;C9</f>
        <v>G22</v>
      </c>
    </row>
    <row r="10" spans="1:6" ht="13.5" thickBot="1" x14ac:dyDescent="0.25">
      <c r="A10" s="12"/>
      <c r="B10" s="12"/>
      <c r="C10" s="4" t="s">
        <v>28</v>
      </c>
      <c r="D10" s="4" t="s">
        <v>29</v>
      </c>
      <c r="E10" s="12"/>
    </row>
    <row r="11" spans="1:6" x14ac:dyDescent="0.2">
      <c r="A11" s="12" t="s">
        <v>23</v>
      </c>
      <c r="B11" s="12"/>
      <c r="C11" s="23">
        <f ca="1">INTERCEPT(INDIRECT($E$9):G992,INDIRECT($D$9):F992)</f>
        <v>-3.7289694334313798E-4</v>
      </c>
      <c r="D11" s="3"/>
      <c r="E11" s="12"/>
    </row>
    <row r="12" spans="1:6" x14ac:dyDescent="0.2">
      <c r="A12" s="12" t="s">
        <v>24</v>
      </c>
      <c r="B12" s="12"/>
      <c r="C12" s="23">
        <f ca="1">SLOPE(INDIRECT($E$9):G992,INDIRECT($D$9):F992)</f>
        <v>6.8668797080432749E-8</v>
      </c>
      <c r="D12" s="3"/>
      <c r="E12" s="12"/>
    </row>
    <row r="13" spans="1:6" x14ac:dyDescent="0.2">
      <c r="A13" s="12" t="s">
        <v>27</v>
      </c>
      <c r="B13" s="12"/>
      <c r="C13" s="3" t="s">
        <v>21</v>
      </c>
    </row>
    <row r="14" spans="1:6" x14ac:dyDescent="0.2">
      <c r="A14" s="12"/>
      <c r="B14" s="12"/>
      <c r="C14" s="12"/>
    </row>
    <row r="15" spans="1:6" x14ac:dyDescent="0.2">
      <c r="A15" s="14" t="s">
        <v>25</v>
      </c>
      <c r="B15" s="12"/>
      <c r="C15" s="15">
        <f ca="1">(C7+C11)+(C8+C12)*INT(MAX(F21:F3533))</f>
        <v>59603.376314644702</v>
      </c>
      <c r="E15" s="16" t="s">
        <v>51</v>
      </c>
      <c r="F15" s="13">
        <v>1</v>
      </c>
    </row>
    <row r="16" spans="1:6" x14ac:dyDescent="0.2">
      <c r="A16" s="18" t="s">
        <v>12</v>
      </c>
      <c r="B16" s="12"/>
      <c r="C16" s="19">
        <f ca="1">+C8+C12</f>
        <v>0.44691806866879707</v>
      </c>
      <c r="E16" s="16" t="s">
        <v>41</v>
      </c>
      <c r="F16" s="17">
        <f ca="1">NOW()+15018.5+$C$5/24</f>
        <v>59968.855796990742</v>
      </c>
    </row>
    <row r="17" spans="1:21" ht="13.5" thickBot="1" x14ac:dyDescent="0.25">
      <c r="A17" s="16" t="s">
        <v>38</v>
      </c>
      <c r="B17" s="12"/>
      <c r="C17" s="12">
        <f>COUNT(C21:C2191)</f>
        <v>12</v>
      </c>
      <c r="E17" s="16" t="s">
        <v>52</v>
      </c>
      <c r="F17" s="17">
        <f ca="1">ROUND(2*(F16-$C$7)/$C$8,0)/2+F15</f>
        <v>17239</v>
      </c>
    </row>
    <row r="18" spans="1:21" ht="14.25" thickTop="1" thickBot="1" x14ac:dyDescent="0.25">
      <c r="A18" s="18" t="s">
        <v>13</v>
      </c>
      <c r="B18" s="12"/>
      <c r="C18" s="21">
        <f ca="1">+C15</f>
        <v>59603.376314644702</v>
      </c>
      <c r="D18" s="22">
        <f ca="1">+C16</f>
        <v>0.44691806866879707</v>
      </c>
      <c r="E18" s="16" t="s">
        <v>42</v>
      </c>
      <c r="F18" s="25">
        <f ca="1">ROUND(2*(F16-$C$15)/$C$16,0)/2+F15</f>
        <v>819</v>
      </c>
    </row>
    <row r="19" spans="1:21" ht="13.5" thickTop="1" x14ac:dyDescent="0.2">
      <c r="E19" s="16" t="s">
        <v>43</v>
      </c>
      <c r="F19" s="20">
        <f ca="1">+$C$15+$C$16*F18-15018.5-$C$5/24</f>
        <v>44951.29804621778</v>
      </c>
    </row>
    <row r="20" spans="1:21" ht="13.5" thickBot="1" x14ac:dyDescent="0.25">
      <c r="A20" s="4" t="s">
        <v>14</v>
      </c>
      <c r="B20" s="4" t="s">
        <v>15</v>
      </c>
      <c r="C20" s="4" t="s">
        <v>16</v>
      </c>
      <c r="D20" s="4" t="s">
        <v>20</v>
      </c>
      <c r="E20" s="4" t="s">
        <v>17</v>
      </c>
      <c r="F20" s="4" t="s">
        <v>18</v>
      </c>
      <c r="G20" s="4" t="s">
        <v>19</v>
      </c>
      <c r="H20" s="29" t="s">
        <v>7</v>
      </c>
      <c r="I20" s="7" t="s">
        <v>59</v>
      </c>
      <c r="J20" s="7" t="s">
        <v>4</v>
      </c>
      <c r="K20" s="7" t="s">
        <v>6</v>
      </c>
      <c r="L20" s="7" t="s">
        <v>34</v>
      </c>
      <c r="M20" s="7" t="s">
        <v>35</v>
      </c>
      <c r="N20" s="7" t="s">
        <v>36</v>
      </c>
      <c r="O20" s="7" t="s">
        <v>31</v>
      </c>
      <c r="P20" s="6" t="s">
        <v>30</v>
      </c>
      <c r="Q20" s="4" t="s">
        <v>22</v>
      </c>
      <c r="U20" s="42" t="s">
        <v>57</v>
      </c>
    </row>
    <row r="21" spans="1:21" x14ac:dyDescent="0.2">
      <c r="A21" t="s">
        <v>48</v>
      </c>
      <c r="C21" s="10">
        <v>52264.982000000004</v>
      </c>
      <c r="D21" s="10" t="s">
        <v>21</v>
      </c>
      <c r="E21">
        <f t="shared" ref="E21:E27" si="0">+(C21-C$7)/C$8</f>
        <v>0</v>
      </c>
      <c r="F21">
        <f t="shared" ref="F21:F30" si="1">ROUND(2*E21,0)/2</f>
        <v>0</v>
      </c>
      <c r="G21">
        <f t="shared" ref="G21:G27" si="2">+C21-(C$7+F21*C$8)</f>
        <v>0</v>
      </c>
      <c r="I21">
        <f>+G21</f>
        <v>0</v>
      </c>
      <c r="O21">
        <f t="shared" ref="O21:O27" ca="1" si="3">+C$11+C$12*$F21</f>
        <v>-3.7289694334313798E-4</v>
      </c>
      <c r="Q21" s="2">
        <f t="shared" ref="Q21:Q27" si="4">+C21-15018.5</f>
        <v>37246.482000000004</v>
      </c>
    </row>
    <row r="22" spans="1:21" x14ac:dyDescent="0.2">
      <c r="A22" s="31" t="s">
        <v>46</v>
      </c>
      <c r="B22" s="32" t="s">
        <v>47</v>
      </c>
      <c r="C22" s="31">
        <v>55100.9035</v>
      </c>
      <c r="D22" s="31">
        <v>2.0000000000000001E-4</v>
      </c>
      <c r="E22">
        <f t="shared" si="0"/>
        <v>6345.507453268825</v>
      </c>
      <c r="F22">
        <f t="shared" si="1"/>
        <v>6345.5</v>
      </c>
      <c r="G22">
        <f t="shared" si="2"/>
        <v>3.3309999998891726E-3</v>
      </c>
      <c r="K22">
        <f>+G22</f>
        <v>3.3309999998891726E-3</v>
      </c>
      <c r="O22">
        <f t="shared" ca="1" si="3"/>
        <v>6.2840908530748018E-5</v>
      </c>
      <c r="Q22" s="2">
        <f t="shared" si="4"/>
        <v>40082.4035</v>
      </c>
    </row>
    <row r="23" spans="1:21" x14ac:dyDescent="0.2">
      <c r="A23" s="39" t="s">
        <v>53</v>
      </c>
      <c r="B23" s="40" t="s">
        <v>47</v>
      </c>
      <c r="C23" s="41">
        <v>55544.692499999997</v>
      </c>
      <c r="D23" s="41">
        <v>8.0000000000000004E-4</v>
      </c>
      <c r="E23">
        <f t="shared" si="0"/>
        <v>7338.5061689168797</v>
      </c>
      <c r="F23">
        <f t="shared" si="1"/>
        <v>7338.5</v>
      </c>
      <c r="G23">
        <f t="shared" si="2"/>
        <v>2.7569999947445467E-3</v>
      </c>
      <c r="K23">
        <f>+G23</f>
        <v>2.7569999947445467E-3</v>
      </c>
      <c r="O23">
        <f t="shared" ca="1" si="3"/>
        <v>1.3102902403161774E-4</v>
      </c>
      <c r="Q23" s="2">
        <f t="shared" si="4"/>
        <v>40526.192499999997</v>
      </c>
    </row>
    <row r="24" spans="1:21" x14ac:dyDescent="0.2">
      <c r="A24" s="44" t="s">
        <v>54</v>
      </c>
      <c r="B24" s="45" t="s">
        <v>47</v>
      </c>
      <c r="C24" s="44">
        <v>55858.874000000003</v>
      </c>
      <c r="D24" s="44">
        <v>6.9999999999999999E-4</v>
      </c>
      <c r="E24">
        <f t="shared" si="0"/>
        <v>8041.5020205048804</v>
      </c>
      <c r="F24">
        <f t="shared" si="1"/>
        <v>8041.5</v>
      </c>
      <c r="G24">
        <f t="shared" si="2"/>
        <v>9.0300000010756776E-4</v>
      </c>
      <c r="K24">
        <f>+G24</f>
        <v>9.0300000010756776E-4</v>
      </c>
      <c r="O24">
        <f t="shared" ca="1" si="3"/>
        <v>1.7930318837916195E-4</v>
      </c>
      <c r="Q24" s="2">
        <f t="shared" si="4"/>
        <v>40840.374000000003</v>
      </c>
    </row>
    <row r="25" spans="1:21" x14ac:dyDescent="0.2">
      <c r="A25" s="46" t="s">
        <v>55</v>
      </c>
      <c r="B25" s="47" t="s">
        <v>47</v>
      </c>
      <c r="C25" s="48">
        <v>56649.695500000002</v>
      </c>
      <c r="D25" s="48">
        <v>2.0000000000000001E-4</v>
      </c>
      <c r="E25">
        <f t="shared" si="0"/>
        <v>9811.002242022023</v>
      </c>
      <c r="F25">
        <f t="shared" si="1"/>
        <v>9811</v>
      </c>
      <c r="G25">
        <f t="shared" si="2"/>
        <v>1.0019999972428195E-3</v>
      </c>
      <c r="K25">
        <f t="shared" ref="K25:K30" si="5">+G25</f>
        <v>1.0019999972428195E-3</v>
      </c>
      <c r="O25">
        <f t="shared" ca="1" si="3"/>
        <v>3.0081262481298777E-4</v>
      </c>
      <c r="Q25" s="2">
        <f t="shared" si="4"/>
        <v>41631.195500000002</v>
      </c>
    </row>
    <row r="26" spans="1:21" x14ac:dyDescent="0.2">
      <c r="A26" s="46" t="s">
        <v>55</v>
      </c>
      <c r="B26" s="47" t="s">
        <v>47</v>
      </c>
      <c r="C26" s="48">
        <v>56653.712099999997</v>
      </c>
      <c r="D26" s="48">
        <v>2.0000000000000001E-4</v>
      </c>
      <c r="E26">
        <f t="shared" si="0"/>
        <v>9819.9895730312801</v>
      </c>
      <c r="F26">
        <f t="shared" si="1"/>
        <v>9820</v>
      </c>
      <c r="G26">
        <f t="shared" si="2"/>
        <v>-4.6600000059697777E-3</v>
      </c>
      <c r="K26">
        <f t="shared" si="5"/>
        <v>-4.6600000059697777E-3</v>
      </c>
      <c r="O26">
        <f t="shared" ca="1" si="3"/>
        <v>3.0143064398671166E-4</v>
      </c>
      <c r="Q26" s="2">
        <f t="shared" si="4"/>
        <v>41635.212099999997</v>
      </c>
    </row>
    <row r="27" spans="1:21" x14ac:dyDescent="0.2">
      <c r="A27" s="46" t="s">
        <v>55</v>
      </c>
      <c r="B27" s="47" t="s">
        <v>47</v>
      </c>
      <c r="C27" s="48">
        <v>56662.650600000001</v>
      </c>
      <c r="D27" s="48">
        <v>2.0000000000000001E-4</v>
      </c>
      <c r="E27">
        <f t="shared" si="0"/>
        <v>9839.9898862878599</v>
      </c>
      <c r="F27">
        <f t="shared" si="1"/>
        <v>9840</v>
      </c>
      <c r="G27">
        <f t="shared" si="2"/>
        <v>-4.5200000022305176E-3</v>
      </c>
      <c r="K27">
        <f t="shared" si="5"/>
        <v>-4.5200000022305176E-3</v>
      </c>
      <c r="O27">
        <f t="shared" ca="1" si="3"/>
        <v>3.0280401992832028E-4</v>
      </c>
      <c r="Q27" s="2">
        <f t="shared" si="4"/>
        <v>41644.150600000001</v>
      </c>
    </row>
    <row r="28" spans="1:21" x14ac:dyDescent="0.2">
      <c r="A28" s="49" t="s">
        <v>0</v>
      </c>
      <c r="B28" s="50" t="s">
        <v>47</v>
      </c>
      <c r="C28" s="49">
        <v>57369.677600000003</v>
      </c>
      <c r="D28" s="49">
        <v>1E-4</v>
      </c>
      <c r="E28">
        <f>+(C28-C$7)/C$8</f>
        <v>11421.995981365708</v>
      </c>
      <c r="F28">
        <f t="shared" si="1"/>
        <v>11422</v>
      </c>
      <c r="G28">
        <f>+C28-(C$7+F28*C$8)</f>
        <v>-1.7960000041057356E-3</v>
      </c>
      <c r="K28">
        <f t="shared" si="5"/>
        <v>-1.7960000041057356E-3</v>
      </c>
      <c r="O28">
        <f ca="1">+C$11+C$12*$F28</f>
        <v>4.1143805690956487E-4</v>
      </c>
      <c r="Q28" s="2">
        <f>+C28-15018.5</f>
        <v>42351.177600000003</v>
      </c>
    </row>
    <row r="29" spans="1:21" ht="12" customHeight="1" x14ac:dyDescent="0.2">
      <c r="A29" s="51" t="s">
        <v>2</v>
      </c>
      <c r="B29" s="52" t="s">
        <v>47</v>
      </c>
      <c r="C29" s="51">
        <v>57398.059600000001</v>
      </c>
      <c r="D29" s="51" t="s">
        <v>5</v>
      </c>
      <c r="E29">
        <f>+(C29-C$7)/C$8</f>
        <v>11485.50203840525</v>
      </c>
      <c r="F29">
        <f t="shared" si="1"/>
        <v>11485.5</v>
      </c>
      <c r="G29">
        <f>+C29-(C$7+F29*C$8)</f>
        <v>9.1099999553989619E-4</v>
      </c>
      <c r="K29">
        <f t="shared" si="5"/>
        <v>9.1099999553989619E-4</v>
      </c>
      <c r="O29">
        <f ca="1">+C$11+C$12*$F29</f>
        <v>4.157985255241724E-4</v>
      </c>
      <c r="Q29" s="2">
        <f>+C29-15018.5</f>
        <v>42379.559600000001</v>
      </c>
    </row>
    <row r="30" spans="1:21" ht="12" customHeight="1" x14ac:dyDescent="0.2">
      <c r="A30" s="49" t="s">
        <v>1</v>
      </c>
      <c r="B30" s="50" t="s">
        <v>47</v>
      </c>
      <c r="C30" s="49">
        <v>57752.689700000003</v>
      </c>
      <c r="D30" s="49">
        <v>2.0000000000000001E-4</v>
      </c>
      <c r="E30">
        <f>+(C30-C$7)/C$8</f>
        <v>12279.003530849059</v>
      </c>
      <c r="F30">
        <f t="shared" si="1"/>
        <v>12279</v>
      </c>
      <c r="G30">
        <f>+C30-(C$7+F30*C$8)</f>
        <v>1.5779999957885593E-3</v>
      </c>
      <c r="K30">
        <f t="shared" si="5"/>
        <v>1.5779999957885593E-3</v>
      </c>
      <c r="O30">
        <f ca="1">+C$11+C$12*$F30</f>
        <v>4.702872160074957E-4</v>
      </c>
      <c r="Q30" s="2">
        <f>+C30-15018.5</f>
        <v>42734.189700000003</v>
      </c>
    </row>
    <row r="31" spans="1:21" ht="12" customHeight="1" x14ac:dyDescent="0.2">
      <c r="A31" s="54" t="s">
        <v>60</v>
      </c>
      <c r="B31" s="55" t="s">
        <v>61</v>
      </c>
      <c r="C31" s="56">
        <v>59186.626300000004</v>
      </c>
      <c r="D31" s="56">
        <v>1E-4</v>
      </c>
      <c r="E31">
        <f>+(C31-C$7)/C$8</f>
        <v>15487.503971645805</v>
      </c>
      <c r="F31">
        <f>ROUND(2*E31,0)/2</f>
        <v>15487.5</v>
      </c>
      <c r="G31">
        <f>+C31-(C$7+F31*C$8)</f>
        <v>1.7749999969964847E-3</v>
      </c>
      <c r="K31">
        <f>+G31</f>
        <v>1.7749999969964847E-3</v>
      </c>
      <c r="O31">
        <f ca="1">+C$11+C$12*$F31</f>
        <v>6.9061105144006428E-4</v>
      </c>
      <c r="Q31" s="2">
        <f>+C31-15018.5</f>
        <v>44168.126300000004</v>
      </c>
    </row>
    <row r="32" spans="1:21" ht="12" customHeight="1" x14ac:dyDescent="0.2">
      <c r="A32" s="60" t="s">
        <v>62</v>
      </c>
      <c r="B32" s="58" t="s">
        <v>47</v>
      </c>
      <c r="C32" s="59">
        <v>59603.378299999997</v>
      </c>
      <c r="D32" s="57">
        <v>1E-4</v>
      </c>
      <c r="E32">
        <f>+(C32-C$7)/C$8</f>
        <v>16420.006130878581</v>
      </c>
      <c r="F32">
        <f>ROUND(2*E32,0)/2</f>
        <v>16420</v>
      </c>
      <c r="G32">
        <f>+C32-(C$7+F32*C$8)</f>
        <v>2.7399999962653965E-3</v>
      </c>
      <c r="K32">
        <f>+G32</f>
        <v>2.7399999962653965E-3</v>
      </c>
      <c r="O32">
        <f ca="1">+C$11+C$12*$F32</f>
        <v>7.5464470471756778E-4</v>
      </c>
      <c r="Q32" s="2">
        <f>+C32-15018.5</f>
        <v>44584.878299999997</v>
      </c>
    </row>
    <row r="33" spans="3:17" ht="12" customHeight="1" x14ac:dyDescent="0.2">
      <c r="C33" s="10"/>
      <c r="D33" s="10"/>
      <c r="Q33" s="2"/>
    </row>
    <row r="34" spans="3:17" ht="12" customHeight="1" x14ac:dyDescent="0.2">
      <c r="C34" s="10"/>
      <c r="D34" s="10"/>
    </row>
    <row r="35" spans="3:17" x14ac:dyDescent="0.2">
      <c r="C35" s="10"/>
      <c r="D35" s="10"/>
    </row>
    <row r="36" spans="3:17" x14ac:dyDescent="0.2">
      <c r="C36" s="10"/>
      <c r="D36" s="10"/>
    </row>
    <row r="37" spans="3:17" x14ac:dyDescent="0.2">
      <c r="C37" s="10"/>
      <c r="D37" s="10"/>
    </row>
    <row r="38" spans="3:17" x14ac:dyDescent="0.2">
      <c r="C38" s="10"/>
      <c r="D38" s="10"/>
    </row>
    <row r="39" spans="3:17" x14ac:dyDescent="0.2">
      <c r="C39" s="10"/>
      <c r="D39" s="10"/>
    </row>
    <row r="40" spans="3:17" x14ac:dyDescent="0.2">
      <c r="C40" s="10"/>
      <c r="D40" s="10"/>
    </row>
    <row r="41" spans="3:17" x14ac:dyDescent="0.2">
      <c r="C41" s="10"/>
      <c r="D41" s="10"/>
    </row>
    <row r="42" spans="3:17" x14ac:dyDescent="0.2">
      <c r="C42" s="10"/>
      <c r="D42" s="10"/>
    </row>
    <row r="43" spans="3:17" x14ac:dyDescent="0.2">
      <c r="C43" s="10"/>
      <c r="D43" s="10"/>
    </row>
    <row r="44" spans="3:17" x14ac:dyDescent="0.2">
      <c r="C44" s="10"/>
      <c r="D44" s="10"/>
    </row>
    <row r="45" spans="3:17" x14ac:dyDescent="0.2">
      <c r="C45" s="10"/>
      <c r="D45" s="10"/>
    </row>
    <row r="46" spans="3:17" x14ac:dyDescent="0.2">
      <c r="C46" s="10"/>
      <c r="D46" s="10"/>
    </row>
    <row r="47" spans="3:17" x14ac:dyDescent="0.2">
      <c r="C47" s="10"/>
      <c r="D47" s="10"/>
    </row>
    <row r="48" spans="3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honeticPr fontId="8" type="noConversion"/>
  <hyperlinks>
    <hyperlink ref="H62678" r:id="rId1" display="http://vsolj.cetus-net.org/bulletin.html"/>
    <hyperlink ref="H62671" r:id="rId2" display="https://www.aavso.org/ejaavso"/>
    <hyperlink ref="I62678" r:id="rId3" display="http://vsolj.cetus-net.org/bulletin.html"/>
    <hyperlink ref="AQ56329" r:id="rId4" display="http://cdsbib.u-strasbg.fr/cgi-bin/cdsbib?1990RMxAA..21..381G"/>
    <hyperlink ref="H62675" r:id="rId5" display="https://www.aavso.org/ejaavso"/>
    <hyperlink ref="AP3693" r:id="rId6" display="http://cdsbib.u-strasbg.fr/cgi-bin/cdsbib?1990RMxAA..21..381G"/>
    <hyperlink ref="AP3696" r:id="rId7" display="http://cdsbib.u-strasbg.fr/cgi-bin/cdsbib?1990RMxAA..21..381G"/>
    <hyperlink ref="AP3694" r:id="rId8" display="http://cdsbib.u-strasbg.fr/cgi-bin/cdsbib?1990RMxAA..21..381G"/>
    <hyperlink ref="AP3678" r:id="rId9" display="http://cdsbib.u-strasbg.fr/cgi-bin/cdsbib?1990RMxAA..21..381G"/>
    <hyperlink ref="AQ3907" r:id="rId10" display="http://cdsbib.u-strasbg.fr/cgi-bin/cdsbib?1990RMxAA..21..381G"/>
    <hyperlink ref="AQ3911" r:id="rId11" display="http://cdsbib.u-strasbg.fr/cgi-bin/cdsbib?1990RMxAA..21..381G"/>
    <hyperlink ref="AQ63591" r:id="rId12" display="http://cdsbib.u-strasbg.fr/cgi-bin/cdsbib?1990RMxAA..21..381G"/>
    <hyperlink ref="I799" r:id="rId13" display="http://vsolj.cetus-net.org/bulletin.html"/>
    <hyperlink ref="H799" r:id="rId14" display="http://vsolj.cetus-net.org/bulletin.html"/>
    <hyperlink ref="AQ64252" r:id="rId15" display="http://cdsbib.u-strasbg.fr/cgi-bin/cdsbib?1990RMxAA..21..381G"/>
    <hyperlink ref="AQ64251" r:id="rId16" display="http://cdsbib.u-strasbg.fr/cgi-bin/cdsbib?1990RMxAA..21..381G"/>
    <hyperlink ref="AP1969" r:id="rId17" display="http://cdsbib.u-strasbg.fr/cgi-bin/cdsbib?1990RMxAA..21..381G"/>
    <hyperlink ref="AP1987" r:id="rId18" display="http://cdsbib.u-strasbg.fr/cgi-bin/cdsbib?1990RMxAA..21..381G"/>
    <hyperlink ref="AP1988" r:id="rId19" display="http://cdsbib.u-strasbg.fr/cgi-bin/cdsbib?1990RMxAA..21..381G"/>
    <hyperlink ref="AP1984" r:id="rId20" display="http://cdsbib.u-strasbg.fr/cgi-bin/cdsbib?1990RMxAA..21..381G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1</vt:lpstr>
      <vt:lpstr>Active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2023-01-24T07:32:20Z</dcterms:modified>
</cp:coreProperties>
</file>