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9060" windowHeight="144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<sst xmlns="http://schemas.openxmlformats.org/spreadsheetml/2006/main" count="120" uniqueCount="89">
  <si>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</si>
  <si>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</si>
  <si>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</si>
  <si>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</si>
  <si>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</si>
  <si>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</si>
  <si>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</si>
  <si>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</si>
  <si>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</si>
  <si>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</si>
  <si>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</si>
  <si>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</si>
  <si>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</si>
  <si>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</si>
  <si>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</si>
  <si>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</si>
  <si>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</si>
  <si>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</si>
  <si>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</si>
  <si>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</si>
  <si>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</si>
  <si>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</si>
  <si>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</si>
  <si>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</si>
  <si>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</si>
  <si>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</si>
  <si>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</si>
  <si>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</si>
  <si>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</si>
  <si>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</si>
  <si>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</si>
  <si>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</si>
  <si>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</si>
  <si>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</si>
  <si>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</si>
  <si>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</si>
  <si>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</si>
  <si>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</si>
  <si>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V1239 Tau / GSC 1870-0458</t>
  </si>
  <si>
    <t>G1870-0458</t>
  </si>
  <si>
    <t>EA</t>
  </si>
  <si>
    <t>GRAV</t>
  </si>
  <si>
    <t>IBVS 5959</t>
  </si>
  <si>
    <t>I</t>
  </si>
  <si>
    <t>IBVS 5992</t>
  </si>
  <si>
    <t>OEJV 0160</t>
  </si>
  <si>
    <t>IBVS 5984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</si>
  <si>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</si>
  <si>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</si>
  <si>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</si>
  <si>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</si>
  <si>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</si>
  <si>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</si>
  <si>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</si>
  <si>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</si>
  <si>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</si>
  <si>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</si>
  <si>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</si>
  <si>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</si>
  <si>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2454147.0149 </t>
  </si>
  <si>
    <t> 15.02.2007 12:21 </t>
  </si>
  <si>
    <t> -0.0327 </t>
  </si>
  <si>
    <t>C </t>
  </si>
  <si>
    <t> K.Nakajima </t>
  </si>
  <si>
    <t>VSB 46 </t>
  </si>
  <si>
    <t>2454866.2421 </t>
  </si>
  <si>
    <t> 03.02.2009 17:48 </t>
  </si>
  <si>
    <t> -0.0411 </t>
  </si>
  <si>
    <t>-I</t>
  </si>
  <si>
    <t> F.Agerer </t>
  </si>
  <si>
    <t>BAVM 214 </t>
  </si>
  <si>
    <t>2455590.3286 </t>
  </si>
  <si>
    <t> 28.01.2011 19:53 </t>
  </si>
  <si>
    <t>2714.5</t>
  </si>
  <si>
    <t> -0.0720 </t>
  </si>
  <si>
    <t>BAVM 215 </t>
  </si>
  <si>
    <t>2455590.3379 </t>
  </si>
  <si>
    <t> 28.01.2011 20:06 </t>
  </si>
  <si>
    <t> -0.0627 </t>
  </si>
  <si>
    <t>B</t>
  </si>
  <si>
    <t>2455894.61874 </t>
  </si>
  <si>
    <t> 29.11.2011 02:50 </t>
  </si>
  <si>
    <t>2995</t>
  </si>
  <si>
    <t> -0.07386 </t>
  </si>
  <si>
    <t>R</t>
  </si>
  <si>
    <t> M.Lehky </t>
  </si>
  <si>
    <t>OEJV 0160 </t>
  </si>
  <si>
    <t>VSB 060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</si>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</sst>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 applyAlignment="1">
      <alignment horizontal="left"/>
      <protection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V1239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"/>
          <c:w val="0.914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plus>
            <c:min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0.0145</c:v>
                  </c:pt>
                  <c:pt idx="4">
                    <c:v>0.0145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A!$U$21:$U$997</c:f>
              <c:numCache/>
            </c:numRef>
          </c:yVal>
          <c:smooth val="0"/>
        </c:ser>
        <c:axId val="56366892"/>
        <c:axId val="37539981"/>
      </c:scatterChart>
      <c:valAx>
        <c:axId val="56366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9981"/>
        <c:crosses val="autoZero"/>
        <c:crossBetween val="midCat"/>
        <c:dispUnits/>
      </c:valAx>
      <c:valAx>
        <c:axId val="3753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668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95"/>
          <c:y val="0.934"/>
          <c:w val="0.669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18</xdr:col>
      <xdr:colOff>38100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no46.pdf" TargetMode="External" /><Relationship Id="rId2" Type="http://schemas.openxmlformats.org/officeDocument/2006/relationships/hyperlink" Target="http://www.bav-astro.de/sfs/BAVM_link.php?BAVMnr=214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www.bav-astro.de/sfs/BAVM_link.php?BAVMnr=215" TargetMode="External" /><Relationship Id="rId5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8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38</v>
      </c>
      <c r="E1" s="29"/>
      <c r="F1" t="s">
        <v>39</v>
      </c>
    </row>
    <row r="2" spans="1:5" ht="12.75">
      <c r="A2" t="s">
        <v>23</v>
      </c>
      <c r="B2" t="s">
        <v>40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52645.6567</v>
      </c>
      <c r="D4" s="9">
        <v>1.08482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4" ht="12.75">
      <c r="A7" t="s">
        <v>2</v>
      </c>
      <c r="C7" s="10">
        <v>52645.548217999996</v>
      </c>
      <c r="D7" s="30" t="s">
        <v>41</v>
      </c>
    </row>
    <row r="8" spans="1:4" ht="12.75">
      <c r="A8" t="s">
        <v>3</v>
      </c>
      <c r="C8" s="10">
        <v>1.08482</v>
      </c>
      <c r="D8" s="30" t="s">
        <v>41</v>
      </c>
    </row>
    <row r="9" spans="1:4" ht="12.75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INTERCEPT(INDIRECT($D$9):G990,INDIRECT($C$9):F990)</f>
        <v>0.105611507994532</v>
      </c>
      <c r="D11" s="3"/>
      <c r="E11" s="12"/>
    </row>
    <row r="12" spans="1:5" ht="12.75">
      <c r="A12" s="12" t="s">
        <v>16</v>
      </c>
      <c r="B12" s="12"/>
      <c r="C12" s="23">
        <f ca="1">SLOPE(INDIRECT($D$9):G990,INDIRECT($C$9):F990)</f>
        <v>-2.207309205468493E-05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(C7+C11)+(C8+C12)*INT(MAX(F21:F3531))</f>
        <v>57361.270417776825</v>
      </c>
      <c r="E15" s="16" t="s">
        <v>35</v>
      </c>
      <c r="F15" s="13">
        <v>1</v>
      </c>
    </row>
    <row r="16" spans="1:6" ht="12.75">
      <c r="A16" s="18" t="s">
        <v>4</v>
      </c>
      <c r="B16" s="12"/>
      <c r="C16" s="19">
        <f>+C8+C12</f>
        <v>1.0847979269079453</v>
      </c>
      <c r="E16" s="16" t="s">
        <v>30</v>
      </c>
      <c r="F16" s="17">
        <f ca="1">NOW()+15018.5+$C$5/24</f>
        <v>59907.694214351846</v>
      </c>
    </row>
    <row r="17" spans="1:6" ht="13.5" thickBot="1">
      <c r="A17" s="16" t="s">
        <v>27</v>
      </c>
      <c r="B17" s="12"/>
      <c r="C17" s="12">
        <f>COUNT(C21:C2189)</f>
        <v>10</v>
      </c>
      <c r="E17" s="16" t="s">
        <v>36</v>
      </c>
      <c r="F17" s="17">
        <f>ROUND(2*(F16-$C$7)/$C$8,0)/2+F15</f>
        <v>6695.5</v>
      </c>
    </row>
    <row r="18" spans="1:6" ht="14.25" thickBot="1" thickTop="1">
      <c r="A18" s="18" t="s">
        <v>5</v>
      </c>
      <c r="B18" s="12"/>
      <c r="C18" s="21">
        <f>+C15</f>
        <v>57361.270417776825</v>
      </c>
      <c r="D18" s="22">
        <f>+C16</f>
        <v>1.0847979269079453</v>
      </c>
      <c r="E18" s="16" t="s">
        <v>31</v>
      </c>
      <c r="F18" s="25">
        <f>ROUND(2*(F16-$C$15)/$C$16,0)/2+F15</f>
        <v>2348.5</v>
      </c>
    </row>
    <row r="19" spans="5:6" ht="13.5" thickTop="1">
      <c r="E19" s="16" t="s">
        <v>32</v>
      </c>
      <c r="F19" s="20">
        <f>+$C$15+$C$16*F18-15018.5-$C$5/24</f>
        <v>44890.81418245347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55</v>
      </c>
      <c r="I20" s="7" t="s">
        <v>58</v>
      </c>
      <c r="J20" s="7" t="s">
        <v>52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8" t="s">
        <v>34</v>
      </c>
    </row>
    <row r="21" spans="1:17" ht="12.75">
      <c r="A21" s="30" t="s">
        <v>37</v>
      </c>
      <c r="C21" s="10">
        <v>52645.6567</v>
      </c>
      <c r="D21" s="10" t="s">
        <v>13</v>
      </c>
      <c r="E21">
        <f aca="true" t="shared" si="0" ref="E21:E28">+(C21-C$7)/C$8</f>
        <v>0.10000000000302152</v>
      </c>
      <c r="F21">
        <f aca="true" t="shared" si="1" ref="F21:F30">ROUND(2*E21,0)/2</f>
        <v>0</v>
      </c>
      <c r="G21">
        <f aca="true" t="shared" si="2" ref="G21:G28">+C21-(C$7+F21*C$8)</f>
        <v>0.10848200000327779</v>
      </c>
      <c r="K21">
        <f>+G21</f>
        <v>0.10848200000327779</v>
      </c>
      <c r="O21">
        <f aca="true" t="shared" si="3" ref="O21:O28">+C$11+C$12*$F21</f>
        <v>0.105611507994532</v>
      </c>
      <c r="Q21" s="2">
        <f aca="true" t="shared" si="4" ref="Q21:Q28">+C21-15018.5</f>
        <v>37627.1567</v>
      </c>
    </row>
    <row r="22" spans="1:17" ht="12.75">
      <c r="A22" s="49" t="s">
        <v>64</v>
      </c>
      <c r="B22" s="51" t="s">
        <v>43</v>
      </c>
      <c r="C22" s="50">
        <v>54147.0149</v>
      </c>
      <c r="D22" s="10"/>
      <c r="E22">
        <f t="shared" si="0"/>
        <v>1384.0698751866723</v>
      </c>
      <c r="F22">
        <f t="shared" si="1"/>
        <v>1384</v>
      </c>
      <c r="G22">
        <f t="shared" si="2"/>
        <v>0.07580200000666082</v>
      </c>
      <c r="K22">
        <f>+G22</f>
        <v>0.07580200000666082</v>
      </c>
      <c r="O22">
        <f t="shared" si="3"/>
        <v>0.07506234859084807</v>
      </c>
      <c r="Q22" s="2">
        <f t="shared" si="4"/>
        <v>39128.5149</v>
      </c>
    </row>
    <row r="23" spans="1:17" ht="12.75">
      <c r="A23" s="31" t="s">
        <v>42</v>
      </c>
      <c r="B23" s="32" t="s">
        <v>43</v>
      </c>
      <c r="C23" s="31">
        <v>54866.2421</v>
      </c>
      <c r="D23" s="31">
        <v>0.0004</v>
      </c>
      <c r="E23">
        <f t="shared" si="0"/>
        <v>2047.0620766578852</v>
      </c>
      <c r="F23">
        <f t="shared" si="1"/>
        <v>2047</v>
      </c>
      <c r="G23">
        <f t="shared" si="2"/>
        <v>0.06734200000937562</v>
      </c>
      <c r="J23">
        <f>+G23</f>
        <v>0.06734200000937562</v>
      </c>
      <c r="O23">
        <f t="shared" si="3"/>
        <v>0.060427888558591956</v>
      </c>
      <c r="Q23" s="2">
        <f t="shared" si="4"/>
        <v>39847.7421</v>
      </c>
    </row>
    <row r="24" spans="1:17" ht="12.75">
      <c r="A24" s="52" t="s">
        <v>46</v>
      </c>
      <c r="B24" s="52"/>
      <c r="C24" s="53">
        <v>55590.3286</v>
      </c>
      <c r="D24" s="53">
        <v>0.0145</v>
      </c>
      <c r="E24">
        <f t="shared" si="0"/>
        <v>2714.5336387603516</v>
      </c>
      <c r="F24">
        <f t="shared" si="1"/>
        <v>2714.5</v>
      </c>
      <c r="G24">
        <f t="shared" si="2"/>
        <v>0.03649200000654673</v>
      </c>
      <c r="J24">
        <f>+G24</f>
        <v>0.03649200000654673</v>
      </c>
      <c r="O24">
        <f t="shared" si="3"/>
        <v>0.04569409961208976</v>
      </c>
      <c r="Q24" s="2">
        <f t="shared" si="4"/>
        <v>40571.8286</v>
      </c>
    </row>
    <row r="25" spans="1:17" ht="12.75">
      <c r="A25" s="52" t="s">
        <v>46</v>
      </c>
      <c r="B25" s="52"/>
      <c r="C25" s="53">
        <v>55590.3379</v>
      </c>
      <c r="D25" s="53">
        <v>0.0145</v>
      </c>
      <c r="E25">
        <f t="shared" si="0"/>
        <v>2714.5422116111454</v>
      </c>
      <c r="F25">
        <f t="shared" si="1"/>
        <v>2714.5</v>
      </c>
      <c r="G25">
        <f t="shared" si="2"/>
        <v>0.045792000004439615</v>
      </c>
      <c r="J25">
        <f>+G25</f>
        <v>0.045792000004439615</v>
      </c>
      <c r="O25">
        <f t="shared" si="3"/>
        <v>0.04569409961208976</v>
      </c>
      <c r="Q25" s="2">
        <f t="shared" si="4"/>
        <v>40571.8379</v>
      </c>
    </row>
    <row r="26" spans="1:17" ht="12.75">
      <c r="A26" s="31" t="s">
        <v>44</v>
      </c>
      <c r="B26" s="32" t="s">
        <v>43</v>
      </c>
      <c r="C26" s="31">
        <v>55600.6371</v>
      </c>
      <c r="D26" s="31">
        <v>0.0003</v>
      </c>
      <c r="E26">
        <f t="shared" si="0"/>
        <v>2724.0361368706367</v>
      </c>
      <c r="F26">
        <f t="shared" si="1"/>
        <v>2724</v>
      </c>
      <c r="G26">
        <f t="shared" si="2"/>
        <v>0.03920200000720797</v>
      </c>
      <c r="K26">
        <f>+G26</f>
        <v>0.03920200000720797</v>
      </c>
      <c r="O26">
        <f t="shared" si="3"/>
        <v>0.045484405237570254</v>
      </c>
      <c r="Q26" s="2">
        <f t="shared" si="4"/>
        <v>40582.1371</v>
      </c>
    </row>
    <row r="27" spans="1:17" ht="12.75">
      <c r="A27" s="33" t="s">
        <v>45</v>
      </c>
      <c r="B27" s="34" t="s">
        <v>43</v>
      </c>
      <c r="C27" s="35">
        <v>55894.61874</v>
      </c>
      <c r="D27" s="35">
        <v>0.0003</v>
      </c>
      <c r="E27">
        <f t="shared" si="0"/>
        <v>2995.0319149720713</v>
      </c>
      <c r="F27">
        <f t="shared" si="1"/>
        <v>2995</v>
      </c>
      <c r="G27">
        <f t="shared" si="2"/>
        <v>0.03462199999921722</v>
      </c>
      <c r="K27">
        <f>+G27</f>
        <v>0.03462199999921722</v>
      </c>
      <c r="O27">
        <f t="shared" si="3"/>
        <v>0.039502597290750646</v>
      </c>
      <c r="Q27" s="2">
        <f t="shared" si="4"/>
        <v>40876.11874</v>
      </c>
    </row>
    <row r="28" spans="1:17" ht="12.75">
      <c r="A28" s="53" t="s">
        <v>47</v>
      </c>
      <c r="B28" s="54" t="s">
        <v>43</v>
      </c>
      <c r="C28" s="55">
        <v>56597.57408</v>
      </c>
      <c r="D28" s="53">
        <v>0.0004</v>
      </c>
      <c r="E28">
        <f t="shared" si="0"/>
        <v>3643.0245220405254</v>
      </c>
      <c r="F28">
        <f t="shared" si="1"/>
        <v>3643</v>
      </c>
      <c r="G28">
        <f t="shared" si="2"/>
        <v>0.02660200000536861</v>
      </c>
      <c r="K28">
        <f>+G28</f>
        <v>0.02660200000536861</v>
      </c>
      <c r="O28">
        <f t="shared" si="3"/>
        <v>0.02519923363931481</v>
      </c>
      <c r="Q28" s="2">
        <f t="shared" si="4"/>
        <v>41579.07408</v>
      </c>
    </row>
    <row r="29" spans="1:17" ht="12.75">
      <c r="A29" s="56" t="s">
        <v>88</v>
      </c>
      <c r="B29" s="57" t="s">
        <v>43</v>
      </c>
      <c r="C29" s="58">
        <v>57327.64484</v>
      </c>
      <c r="D29" s="58">
        <v>0.0004</v>
      </c>
      <c r="E29">
        <f>+(C29-C$7)/C$8</f>
        <v>4316.01244630446</v>
      </c>
      <c r="F29">
        <f t="shared" si="1"/>
        <v>4316</v>
      </c>
      <c r="G29">
        <f>+C29-(C$7+F29*C$8)</f>
        <v>0.013502000008884352</v>
      </c>
      <c r="K29">
        <f>+G29</f>
        <v>0.013502000008884352</v>
      </c>
      <c r="O29">
        <f>+C$11+C$12*$F29</f>
        <v>0.010344042686511845</v>
      </c>
      <c r="Q29" s="2">
        <f>+C29-15018.5</f>
        <v>42309.14484</v>
      </c>
    </row>
    <row r="30" spans="1:17" ht="12.75">
      <c r="A30" s="59" t="s">
        <v>87</v>
      </c>
      <c r="B30" s="60" t="s">
        <v>43</v>
      </c>
      <c r="C30" s="59">
        <v>57361.2756</v>
      </c>
      <c r="D30" s="59" t="s">
        <v>57</v>
      </c>
      <c r="E30">
        <f>+(C30-C$7)/C$8</f>
        <v>4347.013681532425</v>
      </c>
      <c r="F30">
        <f t="shared" si="1"/>
        <v>4347</v>
      </c>
      <c r="G30">
        <f>+C30-(C$7+F30*C$8)</f>
        <v>0.014842000004136935</v>
      </c>
      <c r="K30">
        <f>+G30</f>
        <v>0.014842000004136935</v>
      </c>
      <c r="O30">
        <f>+C$11+C$12*$F30</f>
        <v>0.009659776832816616</v>
      </c>
      <c r="Q30" s="2">
        <f>+C30-15018.5</f>
        <v>42342.7756</v>
      </c>
    </row>
    <row r="31" spans="3:17" ht="12.75">
      <c r="C31" s="10"/>
      <c r="D31" s="10"/>
      <c r="Q31" s="2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9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6" t="s">
        <v>48</v>
      </c>
      <c r="I1" s="37" t="s">
        <v>49</v>
      </c>
      <c r="J1" s="38" t="s">
        <v>50</v>
      </c>
    </row>
    <row r="2" spans="9:10" ht="12.75">
      <c r="I2" s="39" t="s">
        <v>51</v>
      </c>
      <c r="J2" s="40" t="s">
        <v>52</v>
      </c>
    </row>
    <row r="3" spans="1:10" ht="12.75">
      <c r="A3" s="41" t="s">
        <v>53</v>
      </c>
      <c r="I3" s="39" t="s">
        <v>54</v>
      </c>
      <c r="J3" s="40" t="s">
        <v>55</v>
      </c>
    </row>
    <row r="4" spans="9:10" ht="12.75">
      <c r="I4" s="39" t="s">
        <v>56</v>
      </c>
      <c r="J4" s="40" t="s">
        <v>55</v>
      </c>
    </row>
    <row r="5" spans="9:10" ht="13.5" thickBot="1">
      <c r="I5" s="42" t="s">
        <v>57</v>
      </c>
      <c r="J5" s="43" t="s">
        <v>58</v>
      </c>
    </row>
    <row r="10" ht="13.5" thickBot="1"/>
    <row r="11" spans="1:16" ht="12.75" customHeight="1" thickBot="1">
      <c r="A11" s="10" t="str">
        <f>P11</f>
        <v>VSB 46 </v>
      </c>
      <c r="B11" s="3" t="str">
        <f>IF(H11=INT(H11),"I","II")</f>
        <v>I</v>
      </c>
      <c r="C11" s="10">
        <f>1*G11</f>
        <v>54147.0149</v>
      </c>
      <c r="D11" s="12" t="str">
        <f>VLOOKUP(F11,I$1:J$5,2,FALSE)</f>
        <v>vis</v>
      </c>
      <c r="E11" s="44">
        <f>VLOOKUP(C11,A!C$21:E$971,3,FALSE)</f>
        <v>1384.0698751866723</v>
      </c>
      <c r="F11" s="3" t="s">
        <v>57</v>
      </c>
      <c r="G11" s="12" t="str">
        <f>MID(I11,3,LEN(I11)-3)</f>
        <v>54147.0149</v>
      </c>
      <c r="H11" s="10">
        <f>1*K11</f>
        <v>1384</v>
      </c>
      <c r="I11" s="45" t="s">
        <v>59</v>
      </c>
      <c r="J11" s="46" t="s">
        <v>60</v>
      </c>
      <c r="K11" s="45">
        <v>1384</v>
      </c>
      <c r="L11" s="45" t="s">
        <v>61</v>
      </c>
      <c r="M11" s="46" t="s">
        <v>62</v>
      </c>
      <c r="N11" s="46" t="s">
        <v>57</v>
      </c>
      <c r="O11" s="47" t="s">
        <v>63</v>
      </c>
      <c r="P11" s="48" t="s">
        <v>64</v>
      </c>
    </row>
    <row r="12" spans="1:16" ht="12.75" customHeight="1" thickBot="1">
      <c r="A12" s="10" t="str">
        <f>P12</f>
        <v>BAVM 214 </v>
      </c>
      <c r="B12" s="3" t="str">
        <f>IF(H12=INT(H12),"I","II")</f>
        <v>I</v>
      </c>
      <c r="C12" s="10">
        <f>1*G12</f>
        <v>54866.2421</v>
      </c>
      <c r="D12" s="12" t="str">
        <f>VLOOKUP(F12,I$1:J$5,2,FALSE)</f>
        <v>vis</v>
      </c>
      <c r="E12" s="44">
        <f>VLOOKUP(C12,A!C$21:E$971,3,FALSE)</f>
        <v>2047.0620766578852</v>
      </c>
      <c r="F12" s="3" t="s">
        <v>57</v>
      </c>
      <c r="G12" s="12" t="str">
        <f>MID(I12,3,LEN(I12)-3)</f>
        <v>54866.2421</v>
      </c>
      <c r="H12" s="10">
        <f>1*K12</f>
        <v>2047</v>
      </c>
      <c r="I12" s="45" t="s">
        <v>65</v>
      </c>
      <c r="J12" s="46" t="s">
        <v>66</v>
      </c>
      <c r="K12" s="45">
        <v>2047</v>
      </c>
      <c r="L12" s="45" t="s">
        <v>67</v>
      </c>
      <c r="M12" s="46" t="s">
        <v>62</v>
      </c>
      <c r="N12" s="46" t="s">
        <v>68</v>
      </c>
      <c r="O12" s="47" t="s">
        <v>69</v>
      </c>
      <c r="P12" s="48" t="s">
        <v>70</v>
      </c>
    </row>
    <row r="13" spans="1:16" ht="12.75" customHeight="1" thickBot="1">
      <c r="A13" s="10" t="str">
        <f>P13</f>
        <v>BAVM 215 </v>
      </c>
      <c r="B13" s="3" t="str">
        <f>IF(H13=INT(H13),"I","II")</f>
        <v>II</v>
      </c>
      <c r="C13" s="10">
        <f>1*G13</f>
        <v>55590.3286</v>
      </c>
      <c r="D13" s="12" t="str">
        <f>VLOOKUP(F13,I$1:J$5,2,FALSE)</f>
        <v>vis</v>
      </c>
      <c r="E13" s="44">
        <f>VLOOKUP(C13,A!C$21:E$971,3,FALSE)</f>
        <v>2714.5336387603516</v>
      </c>
      <c r="F13" s="3" t="s">
        <v>57</v>
      </c>
      <c r="G13" s="12" t="str">
        <f>MID(I13,3,LEN(I13)-3)</f>
        <v>55590.3286</v>
      </c>
      <c r="H13" s="10">
        <f>1*K13</f>
        <v>2714.5</v>
      </c>
      <c r="I13" s="45" t="s">
        <v>71</v>
      </c>
      <c r="J13" s="46" t="s">
        <v>72</v>
      </c>
      <c r="K13" s="45" t="s">
        <v>73</v>
      </c>
      <c r="L13" s="45" t="s">
        <v>74</v>
      </c>
      <c r="M13" s="46" t="s">
        <v>62</v>
      </c>
      <c r="N13" s="46" t="s">
        <v>57</v>
      </c>
      <c r="O13" s="47" t="s">
        <v>69</v>
      </c>
      <c r="P13" s="48" t="s">
        <v>75</v>
      </c>
    </row>
    <row r="14" spans="1:16" ht="12.75" customHeight="1" thickBot="1">
      <c r="A14" s="10" t="str">
        <f>P14</f>
        <v>BAVM 215 </v>
      </c>
      <c r="B14" s="3" t="str">
        <f>IF(H14=INT(H14),"I","II")</f>
        <v>II</v>
      </c>
      <c r="C14" s="10">
        <f>1*G14</f>
        <v>55590.3379</v>
      </c>
      <c r="D14" s="12" t="str">
        <f>VLOOKUP(F14,I$1:J$5,2,FALSE)</f>
        <v>vis</v>
      </c>
      <c r="E14" s="44">
        <f>VLOOKUP(C14,A!C$21:E$971,3,FALSE)</f>
        <v>2714.5422116111454</v>
      </c>
      <c r="F14" s="3" t="s">
        <v>57</v>
      </c>
      <c r="G14" s="12" t="str">
        <f>MID(I14,3,LEN(I14)-3)</f>
        <v>55590.3379</v>
      </c>
      <c r="H14" s="10">
        <f>1*K14</f>
        <v>2714.5</v>
      </c>
      <c r="I14" s="45" t="s">
        <v>76</v>
      </c>
      <c r="J14" s="46" t="s">
        <v>77</v>
      </c>
      <c r="K14" s="45" t="s">
        <v>73</v>
      </c>
      <c r="L14" s="45" t="s">
        <v>78</v>
      </c>
      <c r="M14" s="46" t="s">
        <v>62</v>
      </c>
      <c r="N14" s="46" t="s">
        <v>79</v>
      </c>
      <c r="O14" s="47" t="s">
        <v>69</v>
      </c>
      <c r="P14" s="48" t="s">
        <v>75</v>
      </c>
    </row>
    <row r="15" spans="1:16" ht="12.75" customHeight="1" thickBot="1">
      <c r="A15" s="10" t="str">
        <f>P15</f>
        <v>OEJV 0160 </v>
      </c>
      <c r="B15" s="3" t="str">
        <f>IF(H15=INT(H15),"I","II")</f>
        <v>I</v>
      </c>
      <c r="C15" s="10">
        <f>1*G15</f>
        <v>55894.61874</v>
      </c>
      <c r="D15" s="12" t="str">
        <f>VLOOKUP(F15,I$1:J$5,2,FALSE)</f>
        <v>vis</v>
      </c>
      <c r="E15" s="44">
        <f>VLOOKUP(C15,A!C$21:E$971,3,FALSE)</f>
        <v>2995.0319149720713</v>
      </c>
      <c r="F15" s="3" t="s">
        <v>57</v>
      </c>
      <c r="G15" s="12" t="str">
        <f>MID(I15,3,LEN(I15)-3)</f>
        <v>55894.61874</v>
      </c>
      <c r="H15" s="10">
        <f>1*K15</f>
        <v>2995</v>
      </c>
      <c r="I15" s="45" t="s">
        <v>80</v>
      </c>
      <c r="J15" s="46" t="s">
        <v>81</v>
      </c>
      <c r="K15" s="45" t="s">
        <v>82</v>
      </c>
      <c r="L15" s="45" t="s">
        <v>83</v>
      </c>
      <c r="M15" s="46" t="s">
        <v>62</v>
      </c>
      <c r="N15" s="46" t="s">
        <v>84</v>
      </c>
      <c r="O15" s="47" t="s">
        <v>85</v>
      </c>
      <c r="P15" s="48" t="s">
        <v>86</v>
      </c>
    </row>
    <row r="16" spans="2:6" ht="12.75">
      <c r="B16" s="3"/>
      <c r="E16" s="44"/>
      <c r="F16" s="3"/>
    </row>
    <row r="17" spans="2:6" ht="12.75">
      <c r="B17" s="3"/>
      <c r="E17" s="44"/>
      <c r="F17" s="3"/>
    </row>
    <row r="18" spans="2:6" ht="12.75">
      <c r="B18" s="3"/>
      <c r="E18" s="44"/>
      <c r="F18" s="3"/>
    </row>
    <row r="19" spans="2:6" ht="12.75">
      <c r="B19" s="3"/>
      <c r="E19" s="44"/>
      <c r="F19" s="3"/>
    </row>
    <row r="20" spans="2:6" ht="12.75">
      <c r="B20" s="3"/>
      <c r="E20" s="44"/>
      <c r="F20" s="3"/>
    </row>
    <row r="21" spans="2:6" ht="12.75">
      <c r="B21" s="3"/>
      <c r="E21" s="44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</sheetData>
  <sheetProtection/>
  <hyperlinks>
    <hyperlink ref="P11" r:id="rId1" display="http://vsolj.cetus-net.org/no46.pdf"/>
    <hyperlink ref="P12" r:id="rId2" display="http://www.bav-astro.de/sfs/BAVM_link.php?BAVMnr=214"/>
    <hyperlink ref="P13" r:id="rId3" display="http://www.bav-astro.de/sfs/BAVM_link.php?BAVMnr=215"/>
    <hyperlink ref="P14" r:id="rId4" display="http://www.bav-astro.de/sfs/BAVM_link.php?BAVMnr=215"/>
    <hyperlink ref="P15" r:id="rId5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