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<sst xmlns="http://schemas.openxmlformats.org/spreadsheetml/2006/main" count="250" uniqueCount="141">
  <si>
    <t>WW Tri / GSC 2322-0796 / NSV 814</t>
  </si>
  <si>
    <t>EA</t>
  </si>
  <si>
    <t>System Type:</t>
  </si>
  <si>
    <t>Kreiner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</si>
  <si>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</si>
  <si>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</si>
  <si>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</si>
  <si>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</si>
  <si>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</si>
  <si>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</si>
  <si>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</si>
  <si>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</si>
  <si>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</si>
  <si>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</si>
  <si>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</si>
  <si>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</si>
  <si>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</si>
  <si>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</si>
  <si>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</si>
  <si>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</si>
  <si>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</si>
  <si>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</si>
  <si>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</si>
  <si>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</si>
  <si>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</si>
  <si>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</si>
  <si>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</si>
  <si>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</si>
  <si>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</si>
  <si>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</si>
  <si>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</si>
  <si>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</si>
  <si>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Kreiner</t>
  </si>
  <si>
    <t>IBVS</t>
  </si>
  <si>
    <t>OEJV</t>
  </si>
  <si>
    <t>S4</t>
  </si>
  <si>
    <t>S5</t>
  </si>
  <si>
    <t>S6</t>
  </si>
  <si>
    <t>Misc</t>
  </si>
  <si>
    <t>Lin Fit</t>
  </si>
  <si>
    <t>Q. Fit</t>
  </si>
  <si>
    <t>Date</t>
  </si>
  <si>
    <t> MVS 11.15 </t>
  </si>
  <si>
    <t>I</t>
  </si>
  <si>
    <t>IBVS 5731</t>
  </si>
  <si>
    <t>VSB 48 </t>
  </si>
  <si>
    <t>IBVS 5871</t>
  </si>
  <si>
    <t>BAVM 225 </t>
  </si>
  <si>
    <t>II</t>
  </si>
  <si>
    <t>OEJV 0160 </t>
  </si>
  <si>
    <t>OEJV 0165</t>
  </si>
  <si>
    <t>IBVS 6152</t>
  </si>
  <si>
    <t>OEJV 0211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</si>
  <si>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</si>
  <si>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</si>
  <si>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</si>
  <si>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</si>
  <si>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</si>
  <si>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</si>
  <si>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</si>
  <si>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</si>
  <si>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</si>
  <si>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</si>
  <si>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</si>
  <si>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2453613.490 </t>
  </si>
  <si>
    <t> 30.08.2005 23:45 </t>
  </si>
  <si>
    <t> -0.002 </t>
  </si>
  <si>
    <t>C </t>
  </si>
  <si>
    <t>-I</t>
  </si>
  <si>
    <t> Rätz </t>
  </si>
  <si>
    <t>BAVM 178 </t>
  </si>
  <si>
    <t>2454821.6616 </t>
  </si>
  <si>
    <t> 21.12.2008 03:52 </t>
  </si>
  <si>
    <t>1327</t>
  </si>
  <si>
    <t> -0.0020 </t>
  </si>
  <si>
    <t> R.Diethelm </t>
  </si>
  <si>
    <t>IBVS 5871 </t>
  </si>
  <si>
    <t>2456963.5104 </t>
  </si>
  <si>
    <t> 02.11.2014 00:14 </t>
  </si>
  <si>
    <t>2552</t>
  </si>
  <si>
    <t> 0.0080 </t>
  </si>
  <si>
    <t> F.Agerer </t>
  </si>
  <si>
    <t>BAVM 239 </t>
  </si>
  <si>
    <t>2438641.596 </t>
  </si>
  <si>
    <t> 03.09.1964 02:18 </t>
  </si>
  <si>
    <t> -0.006 </t>
  </si>
  <si>
    <t>P </t>
  </si>
  <si>
    <t> L.Meinunger </t>
  </si>
  <si>
    <t>2439024.505 </t>
  </si>
  <si>
    <t> 21.09.1965 00:07 </t>
  </si>
  <si>
    <t> -0.005 </t>
  </si>
  <si>
    <t>2439038.513 </t>
  </si>
  <si>
    <t> 05.10.1965 00:18 </t>
  </si>
  <si>
    <t> 0.015 </t>
  </si>
  <si>
    <t>2439379.462 </t>
  </si>
  <si>
    <t> 10.09.1966 23:05 </t>
  </si>
  <si>
    <t> 0.019 </t>
  </si>
  <si>
    <t>2440858.563 </t>
  </si>
  <si>
    <t> 29.09.1970 01:30 </t>
  </si>
  <si>
    <t> -0.060 </t>
  </si>
  <si>
    <t>2440914.515 </t>
  </si>
  <si>
    <t> 24.11.1970 00:21 </t>
  </si>
  <si>
    <t> -0.058 </t>
  </si>
  <si>
    <t>2443437.571 </t>
  </si>
  <si>
    <t> 21.10.1977 01:42 </t>
  </si>
  <si>
    <t> -0.001 </t>
  </si>
  <si>
    <t>2443932.337 </t>
  </si>
  <si>
    <t> 27.02.1979 20:05 </t>
  </si>
  <si>
    <t> -0.044 </t>
  </si>
  <si>
    <t>2444252.337 </t>
  </si>
  <si>
    <t> 13.01.1980 20:05 </t>
  </si>
  <si>
    <t> -0.008 </t>
  </si>
  <si>
    <t>2444628.261 </t>
  </si>
  <si>
    <t> 23.01.1981 18:15 </t>
  </si>
  <si>
    <t> 0.001 </t>
  </si>
  <si>
    <t>2444635.270 </t>
  </si>
  <si>
    <t> 30.01.1981 18:28 </t>
  </si>
  <si>
    <t> 0.017 </t>
  </si>
  <si>
    <t>2445238.470 </t>
  </si>
  <si>
    <t> 25.09.1982 23:16 </t>
  </si>
  <si>
    <t> 0.005 </t>
  </si>
  <si>
    <t>2445647.583 </t>
  </si>
  <si>
    <t> 09.11.1983 01:59 </t>
  </si>
  <si>
    <t> -0.017 </t>
  </si>
  <si>
    <t>2445649.351 </t>
  </si>
  <si>
    <t> 10.11.1983 20:25 </t>
  </si>
  <si>
    <t> 0.003 </t>
  </si>
  <si>
    <t>2454471.9738 </t>
  </si>
  <si>
    <t> 06.01.2008 11:22 </t>
  </si>
  <si>
    <t>1127</t>
  </si>
  <si>
    <t> -0.0019 </t>
  </si>
  <si>
    <t> K.Nakajima </t>
  </si>
  <si>
    <t>2455859.3632 </t>
  </si>
  <si>
    <t> 24.10.2011 20:43 </t>
  </si>
  <si>
    <t>1920.5</t>
  </si>
  <si>
    <t> 0.0006 </t>
  </si>
  <si>
    <t>2455879.4737 </t>
  </si>
  <si>
    <t> 13.11.2011 23:22 </t>
  </si>
  <si>
    <t>1932</t>
  </si>
  <si>
    <t> 0.0040 </t>
  </si>
  <si>
    <t> J.Trnka 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</si>
</sst>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[$-C09]dddd\,\ d\ mmmm\ yyyy"/>
    <numFmt numFmtId="168" formatCode="d/mm/yyyy;@"/>
  </numFmts>
  <fonts count="50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8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5" fontId="6" fillId="0" borderId="0" xfId="0" applyNumberFormat="1" applyFont="1" applyAlignment="1">
      <alignment vertical="top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1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 wrapText="1"/>
    </xf>
    <xf numFmtId="0" fontId="10" fillId="0" borderId="0" xfId="60" applyFont="1">
      <alignment/>
      <protection/>
    </xf>
    <xf numFmtId="0" fontId="10" fillId="0" borderId="0" xfId="60" applyFont="1" applyAlignment="1">
      <alignment horizontal="center"/>
      <protection/>
    </xf>
    <xf numFmtId="0" fontId="10" fillId="0" borderId="0" xfId="60" applyFont="1" applyAlignment="1">
      <alignment horizontal="left"/>
      <protection/>
    </xf>
    <xf numFmtId="0" fontId="12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vertical="top"/>
    </xf>
    <xf numFmtId="0" fontId="14" fillId="0" borderId="0" xfId="56" applyNumberFormat="1" applyFont="1" applyFill="1" applyBorder="1" applyAlignment="1" applyProtection="1">
      <alignment horizontal="left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vertical="top"/>
    </xf>
    <xf numFmtId="0" fontId="8" fillId="33" borderId="19" xfId="0" applyFont="1" applyFill="1" applyBorder="1" applyAlignment="1">
      <alignment horizontal="left" vertical="top" wrapText="1" inden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right" vertical="top" wrapText="1"/>
    </xf>
    <xf numFmtId="0" fontId="14" fillId="33" borderId="19" xfId="56" applyNumberFormat="1" applyFont="1" applyFill="1" applyBorder="1" applyAlignment="1" applyProtection="1">
      <alignment horizontal="right" vertical="top" wrapText="1"/>
      <protection/>
    </xf>
    <xf numFmtId="168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 Tri - O-C Diagr.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775"/>
          <c:w val="0.906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A!$F$21:$F$44</c:f>
              <c:numCache/>
            </c:numRef>
          </c:xVal>
          <c:yVal>
            <c:numRef>
              <c:f>A!$H$21:$H$44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A!$F$21:$F$44</c:f>
              <c:numCache/>
            </c:numRef>
          </c:xVal>
          <c:yVal>
            <c:numRef>
              <c:f>A!$I$21:$I$44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A!$F$21:$F$44</c:f>
              <c:numCache/>
            </c:numRef>
          </c:xVal>
          <c:yVal>
            <c:numRef>
              <c:f>A!$J$21:$J$44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A!$F$21:$F$44</c:f>
              <c:numCache/>
            </c:numRef>
          </c:xVal>
          <c:yVal>
            <c:numRef>
              <c:f>A!$K$21:$K$44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A!$F$21:$F$44</c:f>
              <c:numCache/>
            </c:numRef>
          </c:xVal>
          <c:yVal>
            <c:numRef>
              <c:f>A!$L$21:$L$44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A!$F$21:$F$44</c:f>
              <c:numCache/>
            </c:numRef>
          </c:xVal>
          <c:yVal>
            <c:numRef>
              <c:f>A!$M$21:$M$44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A!$F$21:$F$44</c:f>
              <c:numCache/>
            </c:numRef>
          </c:xVal>
          <c:yVal>
            <c:numRef>
              <c:f>A!$N$21:$N$44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A!$F$21:$F$44</c:f>
              <c:numCache/>
            </c:numRef>
          </c:xVal>
          <c:yVal>
            <c:numRef>
              <c:f>A!$O$21:$O$44</c:f>
              <c:numCache/>
            </c:numRef>
          </c:yVal>
          <c:smooth val="0"/>
        </c:ser>
        <c:axId val="51309691"/>
        <c:axId val="59134036"/>
      </c:scatterChart>
      <c:valAx>
        <c:axId val="51309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34036"/>
        <c:crossesAt val="0"/>
        <c:crossBetween val="midCat"/>
        <c:dispUnits/>
      </c:valAx>
      <c:valAx>
        <c:axId val="59134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09691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92275"/>
          <c:w val="0.699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17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76750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8" TargetMode="External" /><Relationship Id="rId2" Type="http://schemas.openxmlformats.org/officeDocument/2006/relationships/hyperlink" Target="http://www.konkoly.hu/cgi-bin/IBVS?5871" TargetMode="External" /><Relationship Id="rId3" Type="http://schemas.openxmlformats.org/officeDocument/2006/relationships/hyperlink" Target="http://www.bav-astro.de/sfs/BAVM_link.php?BAVMnr=239" TargetMode="External" /><Relationship Id="rId4" Type="http://schemas.openxmlformats.org/officeDocument/2006/relationships/hyperlink" Target="http://vsolj.cetus-net.org/no48.pdf" TargetMode="External" /><Relationship Id="rId5" Type="http://schemas.openxmlformats.org/officeDocument/2006/relationships/hyperlink" Target="http://www.bav-astro.de/sfs/BAVM_link.php?BAVMnr=225" TargetMode="External" /><Relationship Id="rId6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F12" sqref="F12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8" ht="20.25">
      <c r="A1" s="2" t="s">
        <v>0</v>
      </c>
      <c r="F1" s="3">
        <v>52501.482</v>
      </c>
      <c r="G1" s="3">
        <v>1.748439</v>
      </c>
      <c r="H1" s="3" t="s">
        <v>1</v>
      </c>
    </row>
    <row r="2" spans="1:4" ht="12.75">
      <c r="A2" s="1" t="s">
        <v>2</v>
      </c>
      <c r="B2" s="1" t="str">
        <f>H1</f>
        <v>EA</v>
      </c>
      <c r="C2" s="3"/>
      <c r="D2" s="3"/>
    </row>
    <row r="4" spans="1:4" ht="12.75">
      <c r="A4" s="4" t="s">
        <v>3</v>
      </c>
      <c r="C4" s="5">
        <f>F1</f>
        <v>52501.482</v>
      </c>
      <c r="D4" s="6">
        <f>G1</f>
        <v>1.748439</v>
      </c>
    </row>
    <row r="5" spans="1:4" ht="12.75">
      <c r="A5" s="7" t="s">
        <v>4</v>
      </c>
      <c r="B5"/>
      <c r="C5" s="8">
        <v>-9.5</v>
      </c>
      <c r="D5" t="s">
        <v>5</v>
      </c>
    </row>
    <row r="6" ht="12.75">
      <c r="A6" s="4" t="s">
        <v>6</v>
      </c>
    </row>
    <row r="7" spans="1:3" ht="12.75">
      <c r="A7" s="1" t="s">
        <v>7</v>
      </c>
      <c r="C7" s="1">
        <f>C4</f>
        <v>52501.482</v>
      </c>
    </row>
    <row r="8" spans="1:4" ht="12.75">
      <c r="A8" s="1" t="s">
        <v>8</v>
      </c>
      <c r="C8" s="1">
        <f>D4</f>
        <v>1.748439</v>
      </c>
      <c r="D8" s="9"/>
    </row>
    <row r="9" spans="1:4" ht="12.75">
      <c r="A9" s="10" t="s">
        <v>9</v>
      </c>
      <c r="B9" s="11">
        <v>35</v>
      </c>
      <c r="C9" s="12" t="str">
        <f>"F"&amp;B9</f>
        <v>F35</v>
      </c>
      <c r="D9" s="13" t="str">
        <f>"G"&amp;B9</f>
        <v>G35</v>
      </c>
    </row>
    <row r="10" spans="1:5" ht="12.75">
      <c r="A10"/>
      <c r="B10"/>
      <c r="C10" s="14" t="s">
        <v>10</v>
      </c>
      <c r="D10" s="14" t="s">
        <v>11</v>
      </c>
      <c r="E10"/>
    </row>
    <row r="11" spans="1:5" ht="12.75">
      <c r="A11" t="s">
        <v>12</v>
      </c>
      <c r="B11"/>
      <c r="C11" s="15">
        <f ca="1">INTERCEPT(INDIRECT($D$9):G992,INDIRECT($C$9):F992)</f>
        <v>-0.005069297402035319</v>
      </c>
      <c r="D11" s="3"/>
      <c r="E11"/>
    </row>
    <row r="12" spans="1:5" ht="12.75">
      <c r="A12" t="s">
        <v>13</v>
      </c>
      <c r="B12"/>
      <c r="C12" s="15">
        <f ca="1">SLOPE(INDIRECT($D$9):G992,INDIRECT($C$9):F992)</f>
        <v>7.149293445570532E-06</v>
      </c>
      <c r="D12" s="3"/>
      <c r="E12"/>
    </row>
    <row r="13" spans="1:3" ht="12.75">
      <c r="A13" t="s">
        <v>14</v>
      </c>
      <c r="B13"/>
      <c r="C13" s="3" t="s">
        <v>15</v>
      </c>
    </row>
    <row r="14" spans="1:3" ht="12.75">
      <c r="A14"/>
      <c r="B14"/>
      <c r="C14"/>
    </row>
    <row r="15" spans="1:6" ht="12.75">
      <c r="A15" s="16" t="s">
        <v>16</v>
      </c>
      <c r="B15"/>
      <c r="C15" s="17">
        <f>(C7+C11)+(C8+C12)*INT(MAX(F21:F3533))</f>
        <v>58040.554331664236</v>
      </c>
      <c r="E15" s="18" t="s">
        <v>17</v>
      </c>
      <c r="F15" s="8">
        <v>1</v>
      </c>
    </row>
    <row r="16" spans="1:6" ht="12.75">
      <c r="A16" s="16" t="s">
        <v>18</v>
      </c>
      <c r="B16"/>
      <c r="C16" s="17">
        <f>+C8+C12</f>
        <v>1.7484461492934456</v>
      </c>
      <c r="E16" s="18" t="s">
        <v>19</v>
      </c>
      <c r="F16" s="15">
        <f ca="1">NOW()+15018.5+$C$5/24</f>
        <v>59907.719789814815</v>
      </c>
    </row>
    <row r="17" spans="1:6" ht="12.75">
      <c r="A17" s="18" t="s">
        <v>20</v>
      </c>
      <c r="B17"/>
      <c r="C17">
        <f>COUNT(C21:C2191)</f>
        <v>24</v>
      </c>
      <c r="E17" s="18" t="s">
        <v>21</v>
      </c>
      <c r="F17" s="15">
        <f>ROUND(2*(F16-$C$7)/$C$8,0)/2+F15</f>
        <v>4237</v>
      </c>
    </row>
    <row r="18" spans="1:6" ht="12.75">
      <c r="A18" s="16" t="s">
        <v>22</v>
      </c>
      <c r="B18"/>
      <c r="C18" s="19">
        <f>+C15</f>
        <v>58040.554331664236</v>
      </c>
      <c r="D18" s="20">
        <f>+C16</f>
        <v>1.7484461492934456</v>
      </c>
      <c r="E18" s="18" t="s">
        <v>23</v>
      </c>
      <c r="F18" s="13">
        <f>ROUND(2*(F16-$C$15)/$C$16,0)/2+F15</f>
        <v>1069</v>
      </c>
    </row>
    <row r="19" spans="5:6" ht="12.75">
      <c r="E19" s="18" t="s">
        <v>24</v>
      </c>
      <c r="F19" s="21">
        <f>+$C$15+$C$16*F18-15018.5-$C$5/24</f>
        <v>44891.539098592264</v>
      </c>
    </row>
    <row r="20" spans="1:17" ht="12.75">
      <c r="A20" s="14" t="s">
        <v>25</v>
      </c>
      <c r="B20" s="14" t="s">
        <v>26</v>
      </c>
      <c r="C20" s="14" t="s">
        <v>27</v>
      </c>
      <c r="D20" s="14" t="s">
        <v>28</v>
      </c>
      <c r="E20" s="14" t="s">
        <v>29</v>
      </c>
      <c r="F20" s="14" t="s">
        <v>30</v>
      </c>
      <c r="G20" s="14" t="s">
        <v>31</v>
      </c>
      <c r="H20" s="22" t="s">
        <v>32</v>
      </c>
      <c r="I20" s="22" t="s">
        <v>33</v>
      </c>
      <c r="J20" s="22" t="s">
        <v>34</v>
      </c>
      <c r="K20" s="22" t="s">
        <v>35</v>
      </c>
      <c r="L20" s="22" t="s">
        <v>36</v>
      </c>
      <c r="M20" s="22" t="s">
        <v>37</v>
      </c>
      <c r="N20" s="22" t="s">
        <v>38</v>
      </c>
      <c r="O20" s="22" t="s">
        <v>39</v>
      </c>
      <c r="P20" s="22" t="s">
        <v>40</v>
      </c>
      <c r="Q20" s="14" t="s">
        <v>41</v>
      </c>
    </row>
    <row r="21" spans="1:17" ht="12.75">
      <c r="A21" s="23" t="s">
        <v>42</v>
      </c>
      <c r="B21" s="24" t="s">
        <v>43</v>
      </c>
      <c r="C21" s="25">
        <v>38641.596</v>
      </c>
      <c r="D21" s="26"/>
      <c r="E21" s="1">
        <f aca="true" t="shared" si="0" ref="E21:E42">+(C21-C$7)/C$8</f>
        <v>-7927.005746268532</v>
      </c>
      <c r="F21" s="1">
        <f aca="true" t="shared" si="1" ref="F21:F42">ROUND(2*E21,0)/2</f>
        <v>-7927</v>
      </c>
      <c r="G21" s="1">
        <f aca="true" t="shared" si="2" ref="G21:G42">+C21-(C$7+F21*C$8)</f>
        <v>-0.010047000003396533</v>
      </c>
      <c r="K21" s="1">
        <f aca="true" t="shared" si="3" ref="K21:K34">+G21</f>
        <v>-0.010047000003396533</v>
      </c>
      <c r="O21" s="1">
        <f aca="true" t="shared" si="4" ref="O21:O42">+C$11+C$12*$F21</f>
        <v>-0.06174174654507293</v>
      </c>
      <c r="Q21" s="51">
        <f aca="true" t="shared" si="5" ref="Q21:Q42">+C21-15018.5</f>
        <v>23623.095999999998</v>
      </c>
    </row>
    <row r="22" spans="1:17" ht="12.75">
      <c r="A22" s="23" t="s">
        <v>42</v>
      </c>
      <c r="B22" s="24" t="s">
        <v>43</v>
      </c>
      <c r="C22" s="25">
        <v>39024.505</v>
      </c>
      <c r="D22" s="26"/>
      <c r="E22" s="1">
        <f t="shared" si="0"/>
        <v>-7708.005254973154</v>
      </c>
      <c r="F22" s="1">
        <f t="shared" si="1"/>
        <v>-7708</v>
      </c>
      <c r="G22" s="1">
        <f t="shared" si="2"/>
        <v>-0.009188000003632624</v>
      </c>
      <c r="K22" s="1">
        <f t="shared" si="3"/>
        <v>-0.009188000003632624</v>
      </c>
      <c r="O22" s="1">
        <f t="shared" si="4"/>
        <v>-0.060176051280492984</v>
      </c>
      <c r="Q22" s="51">
        <f t="shared" si="5"/>
        <v>24006.004999999997</v>
      </c>
    </row>
    <row r="23" spans="1:17" ht="12.75">
      <c r="A23" s="23" t="s">
        <v>42</v>
      </c>
      <c r="B23" s="24" t="s">
        <v>43</v>
      </c>
      <c r="C23" s="25">
        <v>39038.513</v>
      </c>
      <c r="D23" s="26"/>
      <c r="E23" s="1">
        <f t="shared" si="0"/>
        <v>-7699.993537092231</v>
      </c>
      <c r="F23" s="1">
        <f t="shared" si="1"/>
        <v>-7700</v>
      </c>
      <c r="G23" s="1">
        <f t="shared" si="2"/>
        <v>0.011299999998300336</v>
      </c>
      <c r="K23" s="1">
        <f t="shared" si="3"/>
        <v>0.011299999998300336</v>
      </c>
      <c r="O23" s="1">
        <f t="shared" si="4"/>
        <v>-0.06011885693292841</v>
      </c>
      <c r="Q23" s="51">
        <f t="shared" si="5"/>
        <v>24020.013</v>
      </c>
    </row>
    <row r="24" spans="1:17" ht="12.75">
      <c r="A24" s="23" t="s">
        <v>42</v>
      </c>
      <c r="B24" s="24" t="s">
        <v>43</v>
      </c>
      <c r="C24" s="25">
        <v>39379.462</v>
      </c>
      <c r="D24" s="26"/>
      <c r="E24" s="1">
        <f t="shared" si="0"/>
        <v>-7504.991595360206</v>
      </c>
      <c r="F24" s="1">
        <f t="shared" si="1"/>
        <v>-7505</v>
      </c>
      <c r="G24" s="1">
        <f t="shared" si="2"/>
        <v>0.014694999998027924</v>
      </c>
      <c r="K24" s="1">
        <f t="shared" si="3"/>
        <v>0.014694999998027924</v>
      </c>
      <c r="O24" s="1">
        <f t="shared" si="4"/>
        <v>-0.058724744711042165</v>
      </c>
      <c r="Q24" s="51">
        <f t="shared" si="5"/>
        <v>24360.962</v>
      </c>
    </row>
    <row r="25" spans="1:17" ht="12.75">
      <c r="A25" s="23" t="s">
        <v>42</v>
      </c>
      <c r="B25" s="24" t="s">
        <v>43</v>
      </c>
      <c r="C25" s="25">
        <v>40858.563</v>
      </c>
      <c r="D25" s="26"/>
      <c r="E25" s="1">
        <f t="shared" si="0"/>
        <v>-6659.03643192585</v>
      </c>
      <c r="F25" s="1">
        <f t="shared" si="1"/>
        <v>-6659</v>
      </c>
      <c r="G25" s="1">
        <f t="shared" si="2"/>
        <v>-0.06369899999845074</v>
      </c>
      <c r="K25" s="1">
        <f t="shared" si="3"/>
        <v>-0.06369899999845074</v>
      </c>
      <c r="O25" s="1">
        <f t="shared" si="4"/>
        <v>-0.05267644245608949</v>
      </c>
      <c r="Q25" s="51">
        <f t="shared" si="5"/>
        <v>25840.063000000002</v>
      </c>
    </row>
    <row r="26" spans="1:17" ht="12.75">
      <c r="A26" s="23" t="s">
        <v>42</v>
      </c>
      <c r="B26" s="24" t="s">
        <v>43</v>
      </c>
      <c r="C26" s="25">
        <v>40914.515</v>
      </c>
      <c r="D26" s="26"/>
      <c r="E26" s="1">
        <f t="shared" si="0"/>
        <v>-6627.035315501429</v>
      </c>
      <c r="F26" s="1">
        <f t="shared" si="1"/>
        <v>-6627</v>
      </c>
      <c r="G26" s="1">
        <f t="shared" si="2"/>
        <v>-0.06174699999974109</v>
      </c>
      <c r="K26" s="1">
        <f t="shared" si="3"/>
        <v>-0.06174699999974109</v>
      </c>
      <c r="O26" s="1">
        <f t="shared" si="4"/>
        <v>-0.052447665065831234</v>
      </c>
      <c r="Q26" s="51">
        <f t="shared" si="5"/>
        <v>25896.015</v>
      </c>
    </row>
    <row r="27" spans="1:17" ht="12.75">
      <c r="A27" s="23" t="s">
        <v>42</v>
      </c>
      <c r="B27" s="24" t="s">
        <v>43</v>
      </c>
      <c r="C27" s="25">
        <v>43437.571</v>
      </c>
      <c r="D27" s="26"/>
      <c r="E27" s="1">
        <f t="shared" si="0"/>
        <v>-5184.0018439305</v>
      </c>
      <c r="F27" s="1">
        <f t="shared" si="1"/>
        <v>-5184</v>
      </c>
      <c r="G27" s="1">
        <f t="shared" si="2"/>
        <v>-0.003224000000045635</v>
      </c>
      <c r="K27" s="1">
        <f t="shared" si="3"/>
        <v>-0.003224000000045635</v>
      </c>
      <c r="O27" s="1">
        <f t="shared" si="4"/>
        <v>-0.04213123462387296</v>
      </c>
      <c r="Q27" s="51">
        <f t="shared" si="5"/>
        <v>28419.071000000004</v>
      </c>
    </row>
    <row r="28" spans="1:17" ht="12.75">
      <c r="A28" s="23" t="s">
        <v>42</v>
      </c>
      <c r="B28" s="24" t="s">
        <v>43</v>
      </c>
      <c r="C28" s="25">
        <v>43932.337</v>
      </c>
      <c r="D28" s="26"/>
      <c r="E28" s="1">
        <f t="shared" si="0"/>
        <v>-4901.026000907097</v>
      </c>
      <c r="F28" s="1">
        <f t="shared" si="1"/>
        <v>-4901</v>
      </c>
      <c r="G28" s="1">
        <f t="shared" si="2"/>
        <v>-0.045461000001523644</v>
      </c>
      <c r="K28" s="1">
        <f t="shared" si="3"/>
        <v>-0.045461000001523644</v>
      </c>
      <c r="O28" s="1">
        <f t="shared" si="4"/>
        <v>-0.0401079845787765</v>
      </c>
      <c r="Q28" s="51">
        <f t="shared" si="5"/>
        <v>28913.837</v>
      </c>
    </row>
    <row r="29" spans="1:17" ht="12.75">
      <c r="A29" s="23" t="s">
        <v>42</v>
      </c>
      <c r="B29" s="24" t="s">
        <v>43</v>
      </c>
      <c r="C29" s="25">
        <v>44252.337</v>
      </c>
      <c r="D29" s="26"/>
      <c r="E29" s="1">
        <f t="shared" si="0"/>
        <v>-4718.005603855784</v>
      </c>
      <c r="F29" s="1">
        <f t="shared" si="1"/>
        <v>-4718</v>
      </c>
      <c r="G29" s="1">
        <f t="shared" si="2"/>
        <v>-0.009798000006412622</v>
      </c>
      <c r="K29" s="1">
        <f t="shared" si="3"/>
        <v>-0.009798000006412622</v>
      </c>
      <c r="O29" s="1">
        <f t="shared" si="4"/>
        <v>-0.03879966387823709</v>
      </c>
      <c r="Q29" s="51">
        <f t="shared" si="5"/>
        <v>29233.837</v>
      </c>
    </row>
    <row r="30" spans="1:17" ht="12.75">
      <c r="A30" s="23" t="s">
        <v>42</v>
      </c>
      <c r="B30" s="24" t="s">
        <v>43</v>
      </c>
      <c r="C30" s="25">
        <v>44628.261</v>
      </c>
      <c r="D30" s="26"/>
      <c r="E30" s="1">
        <f t="shared" si="0"/>
        <v>-4503.000104664792</v>
      </c>
      <c r="F30" s="1">
        <f t="shared" si="1"/>
        <v>-4503</v>
      </c>
      <c r="G30" s="1">
        <f t="shared" si="2"/>
        <v>-0.0001830000037443824</v>
      </c>
      <c r="K30" s="1">
        <f t="shared" si="3"/>
        <v>-0.0001830000037443824</v>
      </c>
      <c r="O30" s="1">
        <f t="shared" si="4"/>
        <v>-0.03726256578743943</v>
      </c>
      <c r="Q30" s="51">
        <f t="shared" si="5"/>
        <v>29609.761</v>
      </c>
    </row>
    <row r="31" spans="1:17" ht="12.75">
      <c r="A31" s="23" t="s">
        <v>42</v>
      </c>
      <c r="B31" s="24" t="s">
        <v>43</v>
      </c>
      <c r="C31" s="25">
        <v>44635.27</v>
      </c>
      <c r="D31" s="26"/>
      <c r="E31" s="1">
        <f t="shared" si="0"/>
        <v>-4498.991386030629</v>
      </c>
      <c r="F31" s="1">
        <f t="shared" si="1"/>
        <v>-4499</v>
      </c>
      <c r="G31" s="1">
        <f t="shared" si="2"/>
        <v>0.015060999990964774</v>
      </c>
      <c r="K31" s="1">
        <f t="shared" si="3"/>
        <v>0.015060999990964774</v>
      </c>
      <c r="O31" s="1">
        <f t="shared" si="4"/>
        <v>-0.037233968613657145</v>
      </c>
      <c r="Q31" s="51">
        <f t="shared" si="5"/>
        <v>29616.769999999997</v>
      </c>
    </row>
    <row r="32" spans="1:17" ht="12.75">
      <c r="A32" s="23" t="s">
        <v>42</v>
      </c>
      <c r="B32" s="24" t="s">
        <v>43</v>
      </c>
      <c r="C32" s="25">
        <v>45238.47</v>
      </c>
      <c r="D32" s="26"/>
      <c r="E32" s="1">
        <f t="shared" si="0"/>
        <v>-4153.997937588902</v>
      </c>
      <c r="F32" s="1">
        <f t="shared" si="1"/>
        <v>-4154</v>
      </c>
      <c r="G32" s="1">
        <f t="shared" si="2"/>
        <v>0.0036059999983990565</v>
      </c>
      <c r="K32" s="1">
        <f t="shared" si="3"/>
        <v>0.0036059999983990565</v>
      </c>
      <c r="O32" s="1">
        <f t="shared" si="4"/>
        <v>-0.034767462374935304</v>
      </c>
      <c r="Q32" s="51">
        <f t="shared" si="5"/>
        <v>30219.97</v>
      </c>
    </row>
    <row r="33" spans="1:17" ht="12.75">
      <c r="A33" s="23" t="s">
        <v>42</v>
      </c>
      <c r="B33" s="24" t="s">
        <v>43</v>
      </c>
      <c r="C33" s="25">
        <v>45647.583</v>
      </c>
      <c r="D33" s="26"/>
      <c r="E33" s="1">
        <f t="shared" si="0"/>
        <v>-3920.0103635299856</v>
      </c>
      <c r="F33" s="1">
        <f t="shared" si="1"/>
        <v>-3920</v>
      </c>
      <c r="G33" s="1">
        <f t="shared" si="2"/>
        <v>-0.018120000007911585</v>
      </c>
      <c r="K33" s="1">
        <f t="shared" si="3"/>
        <v>-0.018120000007911585</v>
      </c>
      <c r="O33" s="1">
        <f t="shared" si="4"/>
        <v>-0.0330945277086718</v>
      </c>
      <c r="Q33" s="51">
        <f t="shared" si="5"/>
        <v>30629.083</v>
      </c>
    </row>
    <row r="34" spans="1:17" ht="12.75">
      <c r="A34" s="23" t="s">
        <v>42</v>
      </c>
      <c r="B34" s="24" t="s">
        <v>43</v>
      </c>
      <c r="C34" s="25">
        <v>45649.351</v>
      </c>
      <c r="D34" s="26"/>
      <c r="E34" s="1">
        <f t="shared" si="0"/>
        <v>-3918.999175836275</v>
      </c>
      <c r="F34" s="1">
        <f t="shared" si="1"/>
        <v>-3919</v>
      </c>
      <c r="G34" s="1">
        <f t="shared" si="2"/>
        <v>0.001441000000340864</v>
      </c>
      <c r="K34" s="1">
        <f t="shared" si="3"/>
        <v>0.001441000000340864</v>
      </c>
      <c r="O34" s="1">
        <f t="shared" si="4"/>
        <v>-0.03308737841522623</v>
      </c>
      <c r="Q34" s="51">
        <f t="shared" si="5"/>
        <v>30630.851000000002</v>
      </c>
    </row>
    <row r="35" spans="1:17" ht="12.75">
      <c r="A35" s="27" t="s">
        <v>32</v>
      </c>
      <c r="B35" s="28" t="s">
        <v>43</v>
      </c>
      <c r="C35" s="27">
        <v>52501.482</v>
      </c>
      <c r="D35" s="29"/>
      <c r="E35" s="1">
        <f t="shared" si="0"/>
        <v>0</v>
      </c>
      <c r="F35" s="1">
        <f t="shared" si="1"/>
        <v>0</v>
      </c>
      <c r="G35" s="1">
        <f t="shared" si="2"/>
        <v>0</v>
      </c>
      <c r="H35" s="1">
        <f>+G35</f>
        <v>0</v>
      </c>
      <c r="O35" s="1">
        <f t="shared" si="4"/>
        <v>-0.005069297402035319</v>
      </c>
      <c r="Q35" s="51">
        <f t="shared" si="5"/>
        <v>37482.982</v>
      </c>
    </row>
    <row r="36" spans="1:17" ht="12.75">
      <c r="A36" s="29" t="s">
        <v>44</v>
      </c>
      <c r="B36" s="30"/>
      <c r="C36" s="29">
        <v>53613.49</v>
      </c>
      <c r="D36" s="29">
        <v>0.001</v>
      </c>
      <c r="E36" s="1">
        <f t="shared" si="0"/>
        <v>636.0004552632344</v>
      </c>
      <c r="F36" s="1">
        <f t="shared" si="1"/>
        <v>636</v>
      </c>
      <c r="G36" s="1">
        <f t="shared" si="2"/>
        <v>0.0007959999929880723</v>
      </c>
      <c r="I36" s="1">
        <f>+G36</f>
        <v>0.0007959999929880723</v>
      </c>
      <c r="O36" s="1">
        <f t="shared" si="4"/>
        <v>-0.0005223467706524602</v>
      </c>
      <c r="Q36" s="51">
        <f t="shared" si="5"/>
        <v>38594.99</v>
      </c>
    </row>
    <row r="37" spans="1:17" ht="12.75">
      <c r="A37" s="23" t="s">
        <v>45</v>
      </c>
      <c r="B37" s="24" t="s">
        <v>43</v>
      </c>
      <c r="C37" s="25">
        <v>54471.9738</v>
      </c>
      <c r="D37" s="26"/>
      <c r="E37" s="1">
        <f t="shared" si="0"/>
        <v>1127.0005988198593</v>
      </c>
      <c r="F37" s="1">
        <f t="shared" si="1"/>
        <v>1127</v>
      </c>
      <c r="G37" s="1">
        <f t="shared" si="2"/>
        <v>0.0010469999979250133</v>
      </c>
      <c r="K37" s="1">
        <f>+G37</f>
        <v>0.0010469999979250133</v>
      </c>
      <c r="O37" s="1">
        <f t="shared" si="4"/>
        <v>0.002987956311122671</v>
      </c>
      <c r="Q37" s="51">
        <f t="shared" si="5"/>
        <v>39453.4738</v>
      </c>
    </row>
    <row r="38" spans="1:17" ht="12.75">
      <c r="A38" s="29" t="s">
        <v>46</v>
      </c>
      <c r="B38" s="31" t="s">
        <v>43</v>
      </c>
      <c r="C38" s="29">
        <v>54821.6616</v>
      </c>
      <c r="D38" s="29">
        <v>0.0002</v>
      </c>
      <c r="E38" s="1">
        <f t="shared" si="0"/>
        <v>1327.000598819859</v>
      </c>
      <c r="F38" s="1">
        <f t="shared" si="1"/>
        <v>1327</v>
      </c>
      <c r="G38" s="1">
        <f t="shared" si="2"/>
        <v>0.0010469999979250133</v>
      </c>
      <c r="I38" s="1">
        <f>+G38</f>
        <v>0.0010469999979250133</v>
      </c>
      <c r="O38" s="1">
        <f t="shared" si="4"/>
        <v>0.004417815000236778</v>
      </c>
      <c r="Q38" s="51">
        <f t="shared" si="5"/>
        <v>39803.1616</v>
      </c>
    </row>
    <row r="39" spans="1:17" ht="12.75">
      <c r="A39" s="23" t="s">
        <v>47</v>
      </c>
      <c r="B39" s="24" t="s">
        <v>48</v>
      </c>
      <c r="C39" s="25">
        <v>55859.3632</v>
      </c>
      <c r="D39" s="26"/>
      <c r="E39" s="1">
        <f t="shared" si="0"/>
        <v>1920.5023452348044</v>
      </c>
      <c r="F39" s="1">
        <f t="shared" si="1"/>
        <v>1920.5</v>
      </c>
      <c r="G39" s="1">
        <f t="shared" si="2"/>
        <v>0.004100499994819984</v>
      </c>
      <c r="K39" s="1">
        <f>+G39</f>
        <v>0.004100499994819984</v>
      </c>
      <c r="O39" s="1">
        <f t="shared" si="4"/>
        <v>0.008660920660182888</v>
      </c>
      <c r="Q39" s="51">
        <f t="shared" si="5"/>
        <v>40840.8632</v>
      </c>
    </row>
    <row r="40" spans="1:17" ht="12.75">
      <c r="A40" s="23" t="s">
        <v>49</v>
      </c>
      <c r="B40" s="24" t="s">
        <v>43</v>
      </c>
      <c r="C40" s="25">
        <v>55879.4737</v>
      </c>
      <c r="D40" s="26"/>
      <c r="E40" s="1">
        <f t="shared" si="0"/>
        <v>1932.0043192813696</v>
      </c>
      <c r="F40" s="1">
        <f t="shared" si="1"/>
        <v>1932</v>
      </c>
      <c r="G40" s="1">
        <f t="shared" si="2"/>
        <v>0.007551999995484948</v>
      </c>
      <c r="K40" s="1">
        <f>+G40</f>
        <v>0.007551999995484948</v>
      </c>
      <c r="O40" s="1">
        <f t="shared" si="4"/>
        <v>0.008743137534806949</v>
      </c>
      <c r="Q40" s="51">
        <f t="shared" si="5"/>
        <v>40860.9737</v>
      </c>
    </row>
    <row r="41" spans="1:17" ht="12.75">
      <c r="A41" s="32" t="s">
        <v>50</v>
      </c>
      <c r="B41" s="33"/>
      <c r="C41" s="32">
        <v>55879.47377</v>
      </c>
      <c r="D41" s="34">
        <v>4.9E-05</v>
      </c>
      <c r="E41" s="1">
        <f t="shared" si="0"/>
        <v>1932.0043593170783</v>
      </c>
      <c r="F41" s="1">
        <f t="shared" si="1"/>
        <v>1932</v>
      </c>
      <c r="G41" s="1">
        <f t="shared" si="2"/>
        <v>0.007621999990078621</v>
      </c>
      <c r="J41" s="1">
        <f>+G41</f>
        <v>0.007621999990078621</v>
      </c>
      <c r="O41" s="1">
        <f t="shared" si="4"/>
        <v>0.008743137534806949</v>
      </c>
      <c r="Q41" s="51">
        <f t="shared" si="5"/>
        <v>40860.97377</v>
      </c>
    </row>
    <row r="42" spans="1:17" ht="12.75">
      <c r="A42" s="35" t="s">
        <v>51</v>
      </c>
      <c r="B42" s="33"/>
      <c r="C42" s="35">
        <v>56963.5104</v>
      </c>
      <c r="D42" s="35">
        <v>0.0017</v>
      </c>
      <c r="E42" s="1">
        <f t="shared" si="0"/>
        <v>2552.0069044444763</v>
      </c>
      <c r="F42" s="1">
        <f t="shared" si="1"/>
        <v>2552</v>
      </c>
      <c r="G42" s="1">
        <f t="shared" si="2"/>
        <v>0.012071999997715466</v>
      </c>
      <c r="I42" s="1">
        <f>+G42</f>
        <v>0.012071999997715466</v>
      </c>
      <c r="O42" s="1">
        <f t="shared" si="4"/>
        <v>0.013175699471060679</v>
      </c>
      <c r="Q42" s="51">
        <f t="shared" si="5"/>
        <v>41945.0104</v>
      </c>
    </row>
    <row r="43" spans="1:17" ht="12.75">
      <c r="A43" s="36" t="s">
        <v>52</v>
      </c>
      <c r="B43" s="37" t="s">
        <v>48</v>
      </c>
      <c r="C43" s="38">
        <v>58041.43200000003</v>
      </c>
      <c r="D43" s="38">
        <v>0.0005</v>
      </c>
      <c r="E43" s="1">
        <f>+(C43-C$7)/C$8</f>
        <v>3168.5120270138254</v>
      </c>
      <c r="F43" s="1">
        <f>ROUND(2*E43,0)/2</f>
        <v>3168.5</v>
      </c>
      <c r="G43" s="1">
        <f>+C43-(C$7+F43*C$8)</f>
        <v>0.021028500028478447</v>
      </c>
      <c r="I43" s="1">
        <f>+G43</f>
        <v>0.021028500028478447</v>
      </c>
      <c r="O43" s="1">
        <f>+C$11+C$12*$F43</f>
        <v>0.01758323888025491</v>
      </c>
      <c r="Q43" s="51">
        <f>+C43-15018.5</f>
        <v>43022.93200000003</v>
      </c>
    </row>
    <row r="44" spans="1:17" ht="12.75">
      <c r="A44" s="36" t="s">
        <v>52</v>
      </c>
      <c r="B44" s="37" t="s">
        <v>48</v>
      </c>
      <c r="C44" s="38">
        <v>58041.432010000106</v>
      </c>
      <c r="D44" s="38">
        <v>0.0005</v>
      </c>
      <c r="E44" s="1">
        <f>+(C44-C$7)/C$8</f>
        <v>3168.5120327332565</v>
      </c>
      <c r="F44" s="1">
        <f>ROUND(2*E44,0)/2</f>
        <v>3168.5</v>
      </c>
      <c r="G44" s="1">
        <f>+C44-(C$7+F44*C$8)</f>
        <v>0.02103850010462338</v>
      </c>
      <c r="I44" s="1">
        <f>+G44</f>
        <v>0.02103850010462338</v>
      </c>
      <c r="O44" s="1">
        <f>+C$11+C$12*$F44</f>
        <v>0.01758323888025491</v>
      </c>
      <c r="Q44" s="51">
        <f>+C44-15018.5</f>
        <v>43022.932010000106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6">
      <selection activeCell="A14" sqref="A14"/>
    </sheetView>
  </sheetViews>
  <sheetFormatPr defaultColWidth="9.140625" defaultRowHeight="12.75"/>
  <cols>
    <col min="1" max="1" width="19.7109375" style="26" customWidth="1"/>
    <col min="2" max="2" width="4.421875" style="0" customWidth="1"/>
    <col min="3" max="3" width="12.7109375" style="26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26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39" t="s">
        <v>53</v>
      </c>
      <c r="I1" s="40" t="s">
        <v>54</v>
      </c>
      <c r="J1" s="41" t="s">
        <v>55</v>
      </c>
    </row>
    <row r="2" spans="9:10" ht="12.75">
      <c r="I2" s="42" t="s">
        <v>56</v>
      </c>
      <c r="J2" s="43" t="s">
        <v>57</v>
      </c>
    </row>
    <row r="3" spans="1:10" ht="12.75">
      <c r="A3" s="44" t="s">
        <v>58</v>
      </c>
      <c r="I3" s="42" t="s">
        <v>59</v>
      </c>
      <c r="J3" s="43" t="s">
        <v>60</v>
      </c>
    </row>
    <row r="4" spans="9:10" ht="12.75">
      <c r="I4" s="42" t="s">
        <v>61</v>
      </c>
      <c r="J4" s="43" t="s">
        <v>60</v>
      </c>
    </row>
    <row r="5" spans="9:10" ht="12.75">
      <c r="I5" s="45" t="s">
        <v>62</v>
      </c>
      <c r="J5" s="46" t="s">
        <v>63</v>
      </c>
    </row>
    <row r="11" spans="1:16" ht="12.75" customHeight="1">
      <c r="A11" s="26" t="str">
        <f aca="true" t="shared" si="0" ref="A11:A30">P11</f>
        <v>BAVM 178 </v>
      </c>
      <c r="B11" s="3" t="str">
        <f aca="true" t="shared" si="1" ref="B11:B30">IF(H11=INT(H11),"I","II")</f>
        <v>I</v>
      </c>
      <c r="C11" s="26">
        <f aca="true" t="shared" si="2" ref="C11:C30">1*G11</f>
        <v>53613.49</v>
      </c>
      <c r="D11" t="str">
        <f aca="true" t="shared" si="3" ref="D11:D30">VLOOKUP(F11,I$1:J$5,2,FALSE)</f>
        <v>vis</v>
      </c>
      <c r="E11">
        <f>VLOOKUP(C11,A!C$21:E$973,3,FALSE)</f>
        <v>636.0004552632344</v>
      </c>
      <c r="F11" s="3" t="s">
        <v>62</v>
      </c>
      <c r="G11" t="str">
        <f aca="true" t="shared" si="4" ref="G11:G30">MID(I11,3,LEN(I11)-3)</f>
        <v>53613.490</v>
      </c>
      <c r="H11" s="26">
        <f aca="true" t="shared" si="5" ref="H11:H30">1*K11</f>
        <v>636</v>
      </c>
      <c r="I11" s="47" t="s">
        <v>64</v>
      </c>
      <c r="J11" s="48" t="s">
        <v>65</v>
      </c>
      <c r="K11" s="47">
        <v>636</v>
      </c>
      <c r="L11" s="47" t="s">
        <v>66</v>
      </c>
      <c r="M11" s="48" t="s">
        <v>67</v>
      </c>
      <c r="N11" s="48" t="s">
        <v>68</v>
      </c>
      <c r="O11" s="49" t="s">
        <v>69</v>
      </c>
      <c r="P11" s="50" t="s">
        <v>70</v>
      </c>
    </row>
    <row r="12" spans="1:16" ht="12.75" customHeight="1">
      <c r="A12" s="26" t="str">
        <f t="shared" si="0"/>
        <v>IBVS 5871 </v>
      </c>
      <c r="B12" s="3" t="str">
        <f t="shared" si="1"/>
        <v>I</v>
      </c>
      <c r="C12" s="26">
        <f t="shared" si="2"/>
        <v>54821.6616</v>
      </c>
      <c r="D12" t="str">
        <f t="shared" si="3"/>
        <v>vis</v>
      </c>
      <c r="E12">
        <f>VLOOKUP(C12,A!C$21:E$973,3,FALSE)</f>
        <v>1327.000598819859</v>
      </c>
      <c r="F12" s="3" t="s">
        <v>62</v>
      </c>
      <c r="G12" t="str">
        <f t="shared" si="4"/>
        <v>54821.6616</v>
      </c>
      <c r="H12" s="26">
        <f t="shared" si="5"/>
        <v>1327</v>
      </c>
      <c r="I12" s="47" t="s">
        <v>71</v>
      </c>
      <c r="J12" s="48" t="s">
        <v>72</v>
      </c>
      <c r="K12" s="47" t="s">
        <v>73</v>
      </c>
      <c r="L12" s="47" t="s">
        <v>74</v>
      </c>
      <c r="M12" s="48" t="s">
        <v>67</v>
      </c>
      <c r="N12" s="48" t="s">
        <v>62</v>
      </c>
      <c r="O12" s="49" t="s">
        <v>75</v>
      </c>
      <c r="P12" s="50" t="s">
        <v>76</v>
      </c>
    </row>
    <row r="13" spans="1:16" ht="12.75" customHeight="1">
      <c r="A13" s="26" t="str">
        <f t="shared" si="0"/>
        <v>BAVM 239 </v>
      </c>
      <c r="B13" s="3" t="str">
        <f t="shared" si="1"/>
        <v>I</v>
      </c>
      <c r="C13" s="26">
        <f t="shared" si="2"/>
        <v>56963.5104</v>
      </c>
      <c r="D13" t="str">
        <f t="shared" si="3"/>
        <v>vis</v>
      </c>
      <c r="E13">
        <f>VLOOKUP(C13,A!C$21:E$973,3,FALSE)</f>
        <v>2552.0069044444763</v>
      </c>
      <c r="F13" s="3" t="s">
        <v>62</v>
      </c>
      <c r="G13" t="str">
        <f t="shared" si="4"/>
        <v>56963.5104</v>
      </c>
      <c r="H13" s="26">
        <f t="shared" si="5"/>
        <v>2552</v>
      </c>
      <c r="I13" s="47" t="s">
        <v>77</v>
      </c>
      <c r="J13" s="48" t="s">
        <v>78</v>
      </c>
      <c r="K13" s="47" t="s">
        <v>79</v>
      </c>
      <c r="L13" s="47" t="s">
        <v>80</v>
      </c>
      <c r="M13" s="48" t="s">
        <v>67</v>
      </c>
      <c r="N13" s="48" t="s">
        <v>68</v>
      </c>
      <c r="O13" s="49" t="s">
        <v>81</v>
      </c>
      <c r="P13" s="50" t="s">
        <v>82</v>
      </c>
    </row>
    <row r="14" spans="1:16" ht="12.75" customHeight="1">
      <c r="A14" s="26" t="str">
        <f t="shared" si="0"/>
        <v> MVS 11.15 </v>
      </c>
      <c r="B14" s="3" t="str">
        <f t="shared" si="1"/>
        <v>I</v>
      </c>
      <c r="C14" s="26">
        <f t="shared" si="2"/>
        <v>38641.596</v>
      </c>
      <c r="D14" t="str">
        <f t="shared" si="3"/>
        <v>vis</v>
      </c>
      <c r="E14">
        <f>VLOOKUP(C14,A!C$21:E$973,3,FALSE)</f>
        <v>-7927.005746268532</v>
      </c>
      <c r="F14" s="3" t="s">
        <v>62</v>
      </c>
      <c r="G14" t="str">
        <f t="shared" si="4"/>
        <v>38641.596</v>
      </c>
      <c r="H14" s="26">
        <f t="shared" si="5"/>
        <v>-7927</v>
      </c>
      <c r="I14" s="47" t="s">
        <v>83</v>
      </c>
      <c r="J14" s="48" t="s">
        <v>84</v>
      </c>
      <c r="K14" s="47">
        <v>-7927</v>
      </c>
      <c r="L14" s="47" t="s">
        <v>85</v>
      </c>
      <c r="M14" s="48" t="s">
        <v>86</v>
      </c>
      <c r="N14" s="48"/>
      <c r="O14" s="49" t="s">
        <v>87</v>
      </c>
      <c r="P14" s="49" t="s">
        <v>42</v>
      </c>
    </row>
    <row r="15" spans="1:16" ht="12.75" customHeight="1">
      <c r="A15" s="26" t="str">
        <f t="shared" si="0"/>
        <v> MVS 11.15 </v>
      </c>
      <c r="B15" s="3" t="str">
        <f t="shared" si="1"/>
        <v>I</v>
      </c>
      <c r="C15" s="26">
        <f t="shared" si="2"/>
        <v>39024.505</v>
      </c>
      <c r="D15" t="str">
        <f t="shared" si="3"/>
        <v>vis</v>
      </c>
      <c r="E15">
        <f>VLOOKUP(C15,A!C$21:E$973,3,FALSE)</f>
        <v>-7708.005254973154</v>
      </c>
      <c r="F15" s="3" t="s">
        <v>62</v>
      </c>
      <c r="G15" t="str">
        <f t="shared" si="4"/>
        <v>39024.505</v>
      </c>
      <c r="H15" s="26">
        <f t="shared" si="5"/>
        <v>-7708</v>
      </c>
      <c r="I15" s="47" t="s">
        <v>88</v>
      </c>
      <c r="J15" s="48" t="s">
        <v>89</v>
      </c>
      <c r="K15" s="47">
        <v>-7708</v>
      </c>
      <c r="L15" s="47" t="s">
        <v>90</v>
      </c>
      <c r="M15" s="48" t="s">
        <v>86</v>
      </c>
      <c r="N15" s="48"/>
      <c r="O15" s="49" t="s">
        <v>87</v>
      </c>
      <c r="P15" s="49" t="s">
        <v>42</v>
      </c>
    </row>
    <row r="16" spans="1:16" ht="12.75" customHeight="1">
      <c r="A16" s="26" t="str">
        <f t="shared" si="0"/>
        <v> MVS 11.15 </v>
      </c>
      <c r="B16" s="3" t="str">
        <f t="shared" si="1"/>
        <v>I</v>
      </c>
      <c r="C16" s="26">
        <f t="shared" si="2"/>
        <v>39038.513</v>
      </c>
      <c r="D16" t="str">
        <f t="shared" si="3"/>
        <v>vis</v>
      </c>
      <c r="E16">
        <f>VLOOKUP(C16,A!C$21:E$973,3,FALSE)</f>
        <v>-7699.993537092231</v>
      </c>
      <c r="F16" s="3" t="s">
        <v>62</v>
      </c>
      <c r="G16" t="str">
        <f t="shared" si="4"/>
        <v>39038.513</v>
      </c>
      <c r="H16" s="26">
        <f t="shared" si="5"/>
        <v>-7700</v>
      </c>
      <c r="I16" s="47" t="s">
        <v>91</v>
      </c>
      <c r="J16" s="48" t="s">
        <v>92</v>
      </c>
      <c r="K16" s="47">
        <v>-7700</v>
      </c>
      <c r="L16" s="47" t="s">
        <v>93</v>
      </c>
      <c r="M16" s="48" t="s">
        <v>86</v>
      </c>
      <c r="N16" s="48"/>
      <c r="O16" s="49" t="s">
        <v>87</v>
      </c>
      <c r="P16" s="49" t="s">
        <v>42</v>
      </c>
    </row>
    <row r="17" spans="1:16" ht="12.75" customHeight="1">
      <c r="A17" s="26" t="str">
        <f t="shared" si="0"/>
        <v> MVS 11.15 </v>
      </c>
      <c r="B17" s="3" t="str">
        <f t="shared" si="1"/>
        <v>I</v>
      </c>
      <c r="C17" s="26">
        <f t="shared" si="2"/>
        <v>39379.462</v>
      </c>
      <c r="D17" t="str">
        <f t="shared" si="3"/>
        <v>vis</v>
      </c>
      <c r="E17">
        <f>VLOOKUP(C17,A!C$21:E$973,3,FALSE)</f>
        <v>-7504.991595360206</v>
      </c>
      <c r="F17" s="3" t="s">
        <v>62</v>
      </c>
      <c r="G17" t="str">
        <f t="shared" si="4"/>
        <v>39379.462</v>
      </c>
      <c r="H17" s="26">
        <f t="shared" si="5"/>
        <v>-7505</v>
      </c>
      <c r="I17" s="47" t="s">
        <v>94</v>
      </c>
      <c r="J17" s="48" t="s">
        <v>95</v>
      </c>
      <c r="K17" s="47">
        <v>-7505</v>
      </c>
      <c r="L17" s="47" t="s">
        <v>96</v>
      </c>
      <c r="M17" s="48" t="s">
        <v>86</v>
      </c>
      <c r="N17" s="48"/>
      <c r="O17" s="49" t="s">
        <v>87</v>
      </c>
      <c r="P17" s="49" t="s">
        <v>42</v>
      </c>
    </row>
    <row r="18" spans="1:16" ht="12.75" customHeight="1">
      <c r="A18" s="26" t="str">
        <f t="shared" si="0"/>
        <v> MVS 11.15 </v>
      </c>
      <c r="B18" s="3" t="str">
        <f t="shared" si="1"/>
        <v>I</v>
      </c>
      <c r="C18" s="26">
        <f t="shared" si="2"/>
        <v>40858.563</v>
      </c>
      <c r="D18" t="str">
        <f t="shared" si="3"/>
        <v>vis</v>
      </c>
      <c r="E18">
        <f>VLOOKUP(C18,A!C$21:E$973,3,FALSE)</f>
        <v>-6659.03643192585</v>
      </c>
      <c r="F18" s="3" t="s">
        <v>62</v>
      </c>
      <c r="G18" t="str">
        <f t="shared" si="4"/>
        <v>40858.563</v>
      </c>
      <c r="H18" s="26">
        <f t="shared" si="5"/>
        <v>-6659</v>
      </c>
      <c r="I18" s="47" t="s">
        <v>97</v>
      </c>
      <c r="J18" s="48" t="s">
        <v>98</v>
      </c>
      <c r="K18" s="47">
        <v>-6659</v>
      </c>
      <c r="L18" s="47" t="s">
        <v>99</v>
      </c>
      <c r="M18" s="48" t="s">
        <v>86</v>
      </c>
      <c r="N18" s="48"/>
      <c r="O18" s="49" t="s">
        <v>87</v>
      </c>
      <c r="P18" s="49" t="s">
        <v>42</v>
      </c>
    </row>
    <row r="19" spans="1:16" ht="12.75" customHeight="1">
      <c r="A19" s="26" t="str">
        <f t="shared" si="0"/>
        <v> MVS 11.15 </v>
      </c>
      <c r="B19" s="3" t="str">
        <f t="shared" si="1"/>
        <v>I</v>
      </c>
      <c r="C19" s="26">
        <f t="shared" si="2"/>
        <v>40914.515</v>
      </c>
      <c r="D19" t="str">
        <f t="shared" si="3"/>
        <v>vis</v>
      </c>
      <c r="E19">
        <f>VLOOKUP(C19,A!C$21:E$973,3,FALSE)</f>
        <v>-6627.035315501429</v>
      </c>
      <c r="F19" s="3" t="s">
        <v>62</v>
      </c>
      <c r="G19" t="str">
        <f t="shared" si="4"/>
        <v>40914.515</v>
      </c>
      <c r="H19" s="26">
        <f t="shared" si="5"/>
        <v>-6627</v>
      </c>
      <c r="I19" s="47" t="s">
        <v>100</v>
      </c>
      <c r="J19" s="48" t="s">
        <v>101</v>
      </c>
      <c r="K19" s="47">
        <v>-6627</v>
      </c>
      <c r="L19" s="47" t="s">
        <v>102</v>
      </c>
      <c r="M19" s="48" t="s">
        <v>86</v>
      </c>
      <c r="N19" s="48"/>
      <c r="O19" s="49" t="s">
        <v>87</v>
      </c>
      <c r="P19" s="49" t="s">
        <v>42</v>
      </c>
    </row>
    <row r="20" spans="1:16" ht="12.75" customHeight="1">
      <c r="A20" s="26" t="str">
        <f t="shared" si="0"/>
        <v> MVS 11.15 </v>
      </c>
      <c r="B20" s="3" t="str">
        <f t="shared" si="1"/>
        <v>I</v>
      </c>
      <c r="C20" s="26">
        <f t="shared" si="2"/>
        <v>43437.571</v>
      </c>
      <c r="D20" t="str">
        <f t="shared" si="3"/>
        <v>vis</v>
      </c>
      <c r="E20">
        <f>VLOOKUP(C20,A!C$21:E$973,3,FALSE)</f>
        <v>-5184.0018439305</v>
      </c>
      <c r="F20" s="3" t="s">
        <v>62</v>
      </c>
      <c r="G20" t="str">
        <f t="shared" si="4"/>
        <v>43437.571</v>
      </c>
      <c r="H20" s="26">
        <f t="shared" si="5"/>
        <v>-5184</v>
      </c>
      <c r="I20" s="47" t="s">
        <v>103</v>
      </c>
      <c r="J20" s="48" t="s">
        <v>104</v>
      </c>
      <c r="K20" s="47">
        <v>-5184</v>
      </c>
      <c r="L20" s="47" t="s">
        <v>105</v>
      </c>
      <c r="M20" s="48" t="s">
        <v>86</v>
      </c>
      <c r="N20" s="48"/>
      <c r="O20" s="49" t="s">
        <v>87</v>
      </c>
      <c r="P20" s="49" t="s">
        <v>42</v>
      </c>
    </row>
    <row r="21" spans="1:16" ht="12.75" customHeight="1">
      <c r="A21" s="26" t="str">
        <f t="shared" si="0"/>
        <v> MVS 11.15 </v>
      </c>
      <c r="B21" s="3" t="str">
        <f t="shared" si="1"/>
        <v>I</v>
      </c>
      <c r="C21" s="26">
        <f t="shared" si="2"/>
        <v>43932.337</v>
      </c>
      <c r="D21" t="str">
        <f t="shared" si="3"/>
        <v>vis</v>
      </c>
      <c r="E21">
        <f>VLOOKUP(C21,A!C$21:E$973,3,FALSE)</f>
        <v>-4901.026000907097</v>
      </c>
      <c r="F21" s="3" t="s">
        <v>62</v>
      </c>
      <c r="G21" t="str">
        <f t="shared" si="4"/>
        <v>43932.337</v>
      </c>
      <c r="H21" s="26">
        <f t="shared" si="5"/>
        <v>-4901</v>
      </c>
      <c r="I21" s="47" t="s">
        <v>106</v>
      </c>
      <c r="J21" s="48" t="s">
        <v>107</v>
      </c>
      <c r="K21" s="47">
        <v>-4901</v>
      </c>
      <c r="L21" s="47" t="s">
        <v>108</v>
      </c>
      <c r="M21" s="48" t="s">
        <v>86</v>
      </c>
      <c r="N21" s="48"/>
      <c r="O21" s="49" t="s">
        <v>87</v>
      </c>
      <c r="P21" s="49" t="s">
        <v>42</v>
      </c>
    </row>
    <row r="22" spans="1:16" ht="12.75" customHeight="1">
      <c r="A22" s="26" t="str">
        <f t="shared" si="0"/>
        <v> MVS 11.15 </v>
      </c>
      <c r="B22" s="3" t="str">
        <f t="shared" si="1"/>
        <v>I</v>
      </c>
      <c r="C22" s="26">
        <f t="shared" si="2"/>
        <v>44252.337</v>
      </c>
      <c r="D22" t="str">
        <f t="shared" si="3"/>
        <v>vis</v>
      </c>
      <c r="E22">
        <f>VLOOKUP(C22,A!C$21:E$973,3,FALSE)</f>
        <v>-4718.005603855784</v>
      </c>
      <c r="F22" s="3" t="s">
        <v>62</v>
      </c>
      <c r="G22" t="str">
        <f t="shared" si="4"/>
        <v>44252.337</v>
      </c>
      <c r="H22" s="26">
        <f t="shared" si="5"/>
        <v>-4718</v>
      </c>
      <c r="I22" s="47" t="s">
        <v>109</v>
      </c>
      <c r="J22" s="48" t="s">
        <v>110</v>
      </c>
      <c r="K22" s="47">
        <v>-4718</v>
      </c>
      <c r="L22" s="47" t="s">
        <v>111</v>
      </c>
      <c r="M22" s="48" t="s">
        <v>86</v>
      </c>
      <c r="N22" s="48"/>
      <c r="O22" s="49" t="s">
        <v>87</v>
      </c>
      <c r="P22" s="49" t="s">
        <v>42</v>
      </c>
    </row>
    <row r="23" spans="1:16" ht="12.75" customHeight="1">
      <c r="A23" s="26" t="str">
        <f t="shared" si="0"/>
        <v> MVS 11.15 </v>
      </c>
      <c r="B23" s="3" t="str">
        <f t="shared" si="1"/>
        <v>I</v>
      </c>
      <c r="C23" s="26">
        <f t="shared" si="2"/>
        <v>44628.261</v>
      </c>
      <c r="D23" t="str">
        <f t="shared" si="3"/>
        <v>vis</v>
      </c>
      <c r="E23">
        <f>VLOOKUP(C23,A!C$21:E$973,3,FALSE)</f>
        <v>-4503.000104664792</v>
      </c>
      <c r="F23" s="3" t="s">
        <v>62</v>
      </c>
      <c r="G23" t="str">
        <f t="shared" si="4"/>
        <v>44628.261</v>
      </c>
      <c r="H23" s="26">
        <f t="shared" si="5"/>
        <v>-4503</v>
      </c>
      <c r="I23" s="47" t="s">
        <v>112</v>
      </c>
      <c r="J23" s="48" t="s">
        <v>113</v>
      </c>
      <c r="K23" s="47">
        <v>-4503</v>
      </c>
      <c r="L23" s="47" t="s">
        <v>114</v>
      </c>
      <c r="M23" s="48" t="s">
        <v>86</v>
      </c>
      <c r="N23" s="48"/>
      <c r="O23" s="49" t="s">
        <v>87</v>
      </c>
      <c r="P23" s="49" t="s">
        <v>42</v>
      </c>
    </row>
    <row r="24" spans="1:16" ht="12.75" customHeight="1">
      <c r="A24" s="26" t="str">
        <f t="shared" si="0"/>
        <v> MVS 11.15 </v>
      </c>
      <c r="B24" s="3" t="str">
        <f t="shared" si="1"/>
        <v>I</v>
      </c>
      <c r="C24" s="26">
        <f t="shared" si="2"/>
        <v>44635.27</v>
      </c>
      <c r="D24" t="str">
        <f t="shared" si="3"/>
        <v>vis</v>
      </c>
      <c r="E24">
        <f>VLOOKUP(C24,A!C$21:E$973,3,FALSE)</f>
        <v>-4498.991386030629</v>
      </c>
      <c r="F24" s="3" t="s">
        <v>62</v>
      </c>
      <c r="G24" t="str">
        <f t="shared" si="4"/>
        <v>44635.270</v>
      </c>
      <c r="H24" s="26">
        <f t="shared" si="5"/>
        <v>-4499</v>
      </c>
      <c r="I24" s="47" t="s">
        <v>115</v>
      </c>
      <c r="J24" s="48" t="s">
        <v>116</v>
      </c>
      <c r="K24" s="47">
        <v>-4499</v>
      </c>
      <c r="L24" s="47" t="s">
        <v>117</v>
      </c>
      <c r="M24" s="48" t="s">
        <v>86</v>
      </c>
      <c r="N24" s="48"/>
      <c r="O24" s="49" t="s">
        <v>87</v>
      </c>
      <c r="P24" s="49" t="s">
        <v>42</v>
      </c>
    </row>
    <row r="25" spans="1:16" ht="12.75" customHeight="1">
      <c r="A25" s="26" t="str">
        <f t="shared" si="0"/>
        <v> MVS 11.15 </v>
      </c>
      <c r="B25" s="3" t="str">
        <f t="shared" si="1"/>
        <v>I</v>
      </c>
      <c r="C25" s="26">
        <f t="shared" si="2"/>
        <v>45238.47</v>
      </c>
      <c r="D25" t="str">
        <f t="shared" si="3"/>
        <v>vis</v>
      </c>
      <c r="E25">
        <f>VLOOKUP(C25,A!C$21:E$973,3,FALSE)</f>
        <v>-4153.997937588902</v>
      </c>
      <c r="F25" s="3" t="s">
        <v>62</v>
      </c>
      <c r="G25" t="str">
        <f t="shared" si="4"/>
        <v>45238.470</v>
      </c>
      <c r="H25" s="26">
        <f t="shared" si="5"/>
        <v>-4154</v>
      </c>
      <c r="I25" s="47" t="s">
        <v>118</v>
      </c>
      <c r="J25" s="48" t="s">
        <v>119</v>
      </c>
      <c r="K25" s="47">
        <v>-4154</v>
      </c>
      <c r="L25" s="47" t="s">
        <v>120</v>
      </c>
      <c r="M25" s="48" t="s">
        <v>86</v>
      </c>
      <c r="N25" s="48"/>
      <c r="O25" s="49" t="s">
        <v>87</v>
      </c>
      <c r="P25" s="49" t="s">
        <v>42</v>
      </c>
    </row>
    <row r="26" spans="1:16" ht="12.75" customHeight="1">
      <c r="A26" s="26" t="str">
        <f t="shared" si="0"/>
        <v> MVS 11.15 </v>
      </c>
      <c r="B26" s="3" t="str">
        <f t="shared" si="1"/>
        <v>I</v>
      </c>
      <c r="C26" s="26">
        <f t="shared" si="2"/>
        <v>45647.583</v>
      </c>
      <c r="D26" t="str">
        <f t="shared" si="3"/>
        <v>vis</v>
      </c>
      <c r="E26">
        <f>VLOOKUP(C26,A!C$21:E$973,3,FALSE)</f>
        <v>-3920.0103635299856</v>
      </c>
      <c r="F26" s="3" t="s">
        <v>62</v>
      </c>
      <c r="G26" t="str">
        <f t="shared" si="4"/>
        <v>45647.583</v>
      </c>
      <c r="H26" s="26">
        <f t="shared" si="5"/>
        <v>-3920</v>
      </c>
      <c r="I26" s="47" t="s">
        <v>121</v>
      </c>
      <c r="J26" s="48" t="s">
        <v>122</v>
      </c>
      <c r="K26" s="47">
        <v>-3920</v>
      </c>
      <c r="L26" s="47" t="s">
        <v>123</v>
      </c>
      <c r="M26" s="48" t="s">
        <v>86</v>
      </c>
      <c r="N26" s="48"/>
      <c r="O26" s="49" t="s">
        <v>87</v>
      </c>
      <c r="P26" s="49" t="s">
        <v>42</v>
      </c>
    </row>
    <row r="27" spans="1:16" ht="12.75" customHeight="1">
      <c r="A27" s="26" t="str">
        <f t="shared" si="0"/>
        <v> MVS 11.15 </v>
      </c>
      <c r="B27" s="3" t="str">
        <f t="shared" si="1"/>
        <v>I</v>
      </c>
      <c r="C27" s="26">
        <f t="shared" si="2"/>
        <v>45649.351</v>
      </c>
      <c r="D27" t="str">
        <f t="shared" si="3"/>
        <v>vis</v>
      </c>
      <c r="E27">
        <f>VLOOKUP(C27,A!C$21:E$973,3,FALSE)</f>
        <v>-3918.999175836275</v>
      </c>
      <c r="F27" s="3" t="s">
        <v>62</v>
      </c>
      <c r="G27" t="str">
        <f t="shared" si="4"/>
        <v>45649.351</v>
      </c>
      <c r="H27" s="26">
        <f t="shared" si="5"/>
        <v>-3919</v>
      </c>
      <c r="I27" s="47" t="s">
        <v>124</v>
      </c>
      <c r="J27" s="48" t="s">
        <v>125</v>
      </c>
      <c r="K27" s="47">
        <v>-3919</v>
      </c>
      <c r="L27" s="47" t="s">
        <v>126</v>
      </c>
      <c r="M27" s="48" t="s">
        <v>86</v>
      </c>
      <c r="N27" s="48"/>
      <c r="O27" s="49" t="s">
        <v>87</v>
      </c>
      <c r="P27" s="49" t="s">
        <v>42</v>
      </c>
    </row>
    <row r="28" spans="1:16" ht="12.75" customHeight="1">
      <c r="A28" s="26" t="str">
        <f t="shared" si="0"/>
        <v>VSB 48 </v>
      </c>
      <c r="B28" s="3" t="str">
        <f t="shared" si="1"/>
        <v>I</v>
      </c>
      <c r="C28" s="26">
        <f t="shared" si="2"/>
        <v>54471.9738</v>
      </c>
      <c r="D28" t="str">
        <f t="shared" si="3"/>
        <v>vis</v>
      </c>
      <c r="E28">
        <f>VLOOKUP(C28,A!C$21:E$973,3,FALSE)</f>
        <v>1127.0005988198593</v>
      </c>
      <c r="F28" s="3" t="s">
        <v>62</v>
      </c>
      <c r="G28" t="str">
        <f t="shared" si="4"/>
        <v>54471.9738</v>
      </c>
      <c r="H28" s="26">
        <f t="shared" si="5"/>
        <v>1127</v>
      </c>
      <c r="I28" s="47" t="s">
        <v>127</v>
      </c>
      <c r="J28" s="48" t="s">
        <v>128</v>
      </c>
      <c r="K28" s="47" t="s">
        <v>129</v>
      </c>
      <c r="L28" s="47" t="s">
        <v>130</v>
      </c>
      <c r="M28" s="48" t="s">
        <v>67</v>
      </c>
      <c r="N28" s="48" t="s">
        <v>62</v>
      </c>
      <c r="O28" s="49" t="s">
        <v>131</v>
      </c>
      <c r="P28" s="50" t="s">
        <v>45</v>
      </c>
    </row>
    <row r="29" spans="1:16" ht="12.75" customHeight="1">
      <c r="A29" s="26" t="str">
        <f t="shared" si="0"/>
        <v>BAVM 225 </v>
      </c>
      <c r="B29" s="3" t="str">
        <f t="shared" si="1"/>
        <v>II</v>
      </c>
      <c r="C29" s="26">
        <f t="shared" si="2"/>
        <v>55859.3632</v>
      </c>
      <c r="D29" t="str">
        <f t="shared" si="3"/>
        <v>vis</v>
      </c>
      <c r="E29">
        <f>VLOOKUP(C29,A!C$21:E$973,3,FALSE)</f>
        <v>1920.5023452348044</v>
      </c>
      <c r="F29" s="3" t="s">
        <v>62</v>
      </c>
      <c r="G29" t="str">
        <f t="shared" si="4"/>
        <v>55859.3632</v>
      </c>
      <c r="H29" s="26">
        <f t="shared" si="5"/>
        <v>1920.5</v>
      </c>
      <c r="I29" s="47" t="s">
        <v>132</v>
      </c>
      <c r="J29" s="48" t="s">
        <v>133</v>
      </c>
      <c r="K29" s="47" t="s">
        <v>134</v>
      </c>
      <c r="L29" s="47" t="s">
        <v>135</v>
      </c>
      <c r="M29" s="48" t="s">
        <v>67</v>
      </c>
      <c r="N29" s="48" t="s">
        <v>68</v>
      </c>
      <c r="O29" s="49" t="s">
        <v>81</v>
      </c>
      <c r="P29" s="50" t="s">
        <v>47</v>
      </c>
    </row>
    <row r="30" spans="1:16" ht="12.75" customHeight="1">
      <c r="A30" s="26" t="str">
        <f t="shared" si="0"/>
        <v>OEJV 0160 </v>
      </c>
      <c r="B30" s="3" t="str">
        <f t="shared" si="1"/>
        <v>I</v>
      </c>
      <c r="C30" s="26">
        <f t="shared" si="2"/>
        <v>55879.4737</v>
      </c>
      <c r="D30" t="str">
        <f t="shared" si="3"/>
        <v>vis</v>
      </c>
      <c r="E30">
        <f>VLOOKUP(C30,A!C$21:E$973,3,FALSE)</f>
        <v>1932.0043192813696</v>
      </c>
      <c r="F30" s="3" t="s">
        <v>62</v>
      </c>
      <c r="G30" t="str">
        <f t="shared" si="4"/>
        <v>55879.4737</v>
      </c>
      <c r="H30" s="26">
        <f t="shared" si="5"/>
        <v>1932</v>
      </c>
      <c r="I30" s="47" t="s">
        <v>136</v>
      </c>
      <c r="J30" s="48" t="s">
        <v>137</v>
      </c>
      <c r="K30" s="47" t="s">
        <v>138</v>
      </c>
      <c r="L30" s="47" t="s">
        <v>139</v>
      </c>
      <c r="M30" s="48" t="s">
        <v>67</v>
      </c>
      <c r="N30" s="48" t="s">
        <v>54</v>
      </c>
      <c r="O30" s="49" t="s">
        <v>140</v>
      </c>
      <c r="P30" s="50" t="s">
        <v>49</v>
      </c>
    </row>
  </sheetData>
  <sheetProtection selectLockedCells="1" selectUnlockedCells="1"/>
  <hyperlinks>
    <hyperlink ref="P11" r:id="rId1" display="BAVM 178 "/>
    <hyperlink ref="P12" r:id="rId2" display="IBVS 5871 "/>
    <hyperlink ref="P13" r:id="rId3" display="BAVM 239 "/>
    <hyperlink ref="P28" r:id="rId4" display="VSB 48 "/>
    <hyperlink ref="P29" r:id="rId5" display="BAVM 225 "/>
    <hyperlink ref="P30" r:id="rId6" display="OEJV 0160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2022-11-24T04:16:29Z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