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30" windowWidth="8895" windowHeight="1447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<sst xmlns="http://schemas.openxmlformats.org/spreadsheetml/2006/main" count="157" uniqueCount="96">
  <si>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</si>
  <si>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</si>
  <si>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</si>
  <si>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</si>
  <si>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</si>
  <si>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</si>
  <si>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</si>
  <si>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</si>
  <si>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</si>
  <si>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</si>
  <si>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</si>
  <si>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</si>
  <si>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</si>
  <si>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</si>
  <si>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</si>
  <si>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</si>
  <si>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</si>
  <si>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</si>
  <si>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</si>
  <si>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</si>
  <si>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</si>
  <si>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</si>
  <si>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</si>
  <si>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</si>
  <si>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</si>
  <si>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</si>
  <si>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</si>
  <si>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</si>
  <si>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</si>
  <si>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</si>
  <si>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</si>
  <si>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</si>
  <si>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</si>
  <si>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</si>
  <si>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</si>
  <si>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</si>
  <si>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</si>
  <si>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</si>
  <si>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</si>
  <si>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</si>
  <si>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</si>
  <si>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</si>
  <si>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AN UMa</t>
  </si>
  <si>
    <t>Kreiner</t>
  </si>
  <si>
    <t>PE</t>
  </si>
  <si>
    <t>??</t>
  </si>
  <si>
    <t>IBVS 1109</t>
  </si>
  <si>
    <t>AN UMa / GSC na</t>
  </si>
  <si>
    <t>E+XRM</t>
  </si>
  <si>
    <t>IBVS 6048</t>
  </si>
  <si>
    <t>II</t>
  </si>
  <si>
    <t>Minima from the Lichtenknecker Database of the BAV</t>
  </si>
  <si>
    <t>C</t>
  </si>
  <si>
    <t>CCD</t>
  </si>
  <si>
    <t>E</t>
  </si>
  <si>
    <t>http://www.bav-astro.de/LkDB/index.php?lang=en&amp;sprache_dial=en</t>
  </si>
  <si>
    <t>F</t>
  </si>
  <si>
    <t>pg</t>
  </si>
  <si>
    <t>P</t>
  </si>
  <si>
    <t>V</t>
  </si>
  <si>
    <t>vis</t>
  </si>
  <si>
    <t>2451562.469 </t>
  </si>
  <si>
    <t> 18.01.2000 23:15 </t>
  </si>
  <si>
    <t> 0.014 </t>
  </si>
  <si>
    <t>E </t>
  </si>
  <si>
    <t>R</t>
  </si>
  <si>
    <t> A.Paschke </t>
  </si>
  <si>
    <t> BBS 127 </t>
  </si>
  <si>
    <t>2451562.513 </t>
  </si>
  <si>
    <t> 19.01.2000 00:18 </t>
  </si>
  <si>
    <t> 0.018 </t>
  </si>
  <si>
    <t>2451562.549 </t>
  </si>
  <si>
    <t> 19.01.2000 01:10 </t>
  </si>
  <si>
    <t>2451563.551 </t>
  </si>
  <si>
    <t> 20.01.2000 01:13 </t>
  </si>
  <si>
    <t> 0.019 </t>
  </si>
  <si>
    <t>2456002.3709 </t>
  </si>
  <si>
    <t> 15.03.2012 20:54 </t>
  </si>
  <si>
    <t> 21.9631 </t>
  </si>
  <si>
    <t>C </t>
  </si>
  <si>
    <t>-I</t>
  </si>
  <si>
    <t> F.Agerer </t>
  </si>
  <si>
    <t>BAVM 228 </t>
  </si>
  <si>
    <t>2456002.3990 </t>
  </si>
  <si>
    <t> 15.03.2012 21:34 </t>
  </si>
  <si>
    <t>164121.5</t>
  </si>
  <si>
    <t> 21.9513 </t>
  </si>
  <si>
    <t>2456002.6089 </t>
  </si>
  <si>
    <t> 16.03.2012 02:36 </t>
  </si>
  <si>
    <t>164124</t>
  </si>
  <si>
    <t> 21.9618 </t>
  </si>
  <si>
    <t>2456002.6366 </t>
  </si>
  <si>
    <t> 16.03.2012 03:16 </t>
  </si>
  <si>
    <t>164124.5</t>
  </si>
  <si>
    <t> 21.9497 </t>
  </si>
  <si>
    <t>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</si>
</sst>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 UMa - O-C Diagr.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"/>
          <c:w val="0.9145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0.0001</c:v>
                  </c:pt>
                  <c:pt idx="11">
                    <c:v>0.0004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0.0001</c:v>
                  </c:pt>
                  <c:pt idx="11">
                    <c:v>0.0004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0.0001</c:v>
                  </c:pt>
                  <c:pt idx="11">
                    <c:v>0.0004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0.0001</c:v>
                  </c:pt>
                  <c:pt idx="11">
                    <c:v>0.0004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0.0001</c:v>
                  </c:pt>
                  <c:pt idx="11">
                    <c:v>0.0004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0.0001</c:v>
                  </c:pt>
                  <c:pt idx="11">
                    <c:v>0.0004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0.0001</c:v>
                  </c:pt>
                  <c:pt idx="11">
                    <c:v>0.0004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0.0001</c:v>
                  </c:pt>
                  <c:pt idx="11">
                    <c:v>0.0004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0.0001</c:v>
                  </c:pt>
                  <c:pt idx="11">
                    <c:v>0.0004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0.0001</c:v>
                  </c:pt>
                  <c:pt idx="11">
                    <c:v>0.0004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0.0001</c:v>
                  </c:pt>
                  <c:pt idx="11">
                    <c:v>0.0004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0.0001</c:v>
                  </c:pt>
                  <c:pt idx="11">
                    <c:v>0.0004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0.0001</c:v>
                  </c:pt>
                  <c:pt idx="11">
                    <c:v>0.0004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0.0001</c:v>
                  </c:pt>
                  <c:pt idx="11">
                    <c:v>0.0004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7803840"/>
        <c:axId val="3125697"/>
      </c:scatterChart>
      <c:valAx>
        <c:axId val="7803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697"/>
        <c:crosses val="autoZero"/>
        <c:crossBetween val="midCat"/>
        <c:dispUnits/>
      </c:valAx>
      <c:valAx>
        <c:axId val="312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384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6"/>
          <c:y val="0.934"/>
          <c:w val="0.698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1114425</xdr:colOff>
      <xdr:row>0</xdr:row>
      <xdr:rowOff>0</xdr:rowOff>
    </xdr:from>
    <xdr:to>
      <xdr:col>17</xdr:col>
      <xdr:colOff>590550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10075" y="0"/>
        <a:ext cx="69627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28" TargetMode="External" /><Relationship Id="rId2" Type="http://schemas.openxmlformats.org/officeDocument/2006/relationships/hyperlink" Target="http://www.bav-astro.de/sfs/BAVM_link.php?BAVMnr=228" TargetMode="External" /><Relationship Id="rId3" Type="http://schemas.openxmlformats.org/officeDocument/2006/relationships/hyperlink" Target="http://www.bav-astro.de/sfs/BAVM_link.php?BAVMnr=228" TargetMode="External" /><Relationship Id="rId4" Type="http://schemas.openxmlformats.org/officeDocument/2006/relationships/hyperlink" Target="http://www.bav-astro.de/sfs/BAVM_link.php?BAVMnr=22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10" sqref="E10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11.57421875" style="0" customWidth="1"/>
  </cols>
  <sheetData>
    <row r="1" spans="1:6" ht="20.25">
      <c r="A1" s="1" t="s">
        <v>47</v>
      </c>
      <c r="E1" s="29" t="s">
        <v>42</v>
      </c>
      <c r="F1" t="s">
        <v>13</v>
      </c>
    </row>
    <row r="2" spans="1:5" ht="12.75">
      <c r="A2" t="s">
        <v>24</v>
      </c>
      <c r="B2" t="s">
        <v>48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42891.397</v>
      </c>
      <c r="D4" s="9">
        <v>0.0797522</v>
      </c>
    </row>
    <row r="5" spans="1:4" ht="13.5" thickTop="1">
      <c r="A5" s="11" t="s">
        <v>31</v>
      </c>
      <c r="B5" s="12"/>
      <c r="C5" s="13">
        <v>-9.5</v>
      </c>
      <c r="D5" s="12" t="s">
        <v>32</v>
      </c>
    </row>
    <row r="6" ht="12.75">
      <c r="A6" s="5" t="s">
        <v>1</v>
      </c>
    </row>
    <row r="7" spans="1:4" ht="12.75">
      <c r="A7" t="s">
        <v>2</v>
      </c>
      <c r="C7">
        <v>52500.007303383405</v>
      </c>
      <c r="D7" s="30" t="s">
        <v>43</v>
      </c>
    </row>
    <row r="8" spans="1:4" ht="12.75">
      <c r="A8" t="s">
        <v>3</v>
      </c>
      <c r="C8">
        <v>0.07975276123829422</v>
      </c>
      <c r="D8" s="30" t="s">
        <v>43</v>
      </c>
    </row>
    <row r="9" spans="1:4" ht="12.75">
      <c r="A9" s="26" t="s">
        <v>36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5" ht="12.75">
      <c r="A11" s="12" t="s">
        <v>15</v>
      </c>
      <c r="B11" s="12"/>
      <c r="C11" s="23">
        <f ca="1">INTERCEPT(INDIRECT($D$9):G992,INDIRECT($C$9):F992)</f>
        <v>0.0008927018274020235</v>
      </c>
      <c r="D11" s="3"/>
      <c r="E11" s="12"/>
    </row>
    <row r="12" spans="1:5" ht="12.75">
      <c r="A12" s="12" t="s">
        <v>16</v>
      </c>
      <c r="B12" s="12"/>
      <c r="C12" s="23">
        <f ca="1">SLOPE(INDIRECT($D$9):G992,INDIRECT($C$9):F992)</f>
        <v>3.6053188730863E-09</v>
      </c>
      <c r="D12" s="3"/>
      <c r="E12" s="12"/>
    </row>
    <row r="13" spans="1:3" ht="12.75">
      <c r="A13" s="12" t="s">
        <v>19</v>
      </c>
      <c r="B13" s="12"/>
      <c r="C13" s="3" t="s">
        <v>13</v>
      </c>
    </row>
    <row r="14" spans="1:3" ht="12.75">
      <c r="A14" s="12"/>
      <c r="B14" s="12"/>
      <c r="C14" s="12"/>
    </row>
    <row r="15" spans="1:6" ht="12.75">
      <c r="A15" s="14" t="s">
        <v>17</v>
      </c>
      <c r="B15" s="12"/>
      <c r="C15" s="15">
        <f>(C7+C11)+(C8+C12)*INT(MAX(F21:F3533))</f>
        <v>56002.59012248703</v>
      </c>
      <c r="E15" s="16" t="s">
        <v>39</v>
      </c>
      <c r="F15" s="13">
        <v>1</v>
      </c>
    </row>
    <row r="16" spans="1:6" ht="12.75">
      <c r="A16" s="18" t="s">
        <v>4</v>
      </c>
      <c r="B16" s="12"/>
      <c r="C16" s="19">
        <f>+C8+C12</f>
        <v>0.0797527648436131</v>
      </c>
      <c r="E16" s="16" t="s">
        <v>33</v>
      </c>
      <c r="F16" s="17">
        <f ca="1">NOW()+15018.5+$C$5/24</f>
        <v>59907.72700983796</v>
      </c>
    </row>
    <row r="17" spans="1:6" ht="13.5" thickBot="1">
      <c r="A17" s="16" t="s">
        <v>30</v>
      </c>
      <c r="B17" s="12"/>
      <c r="C17" s="12">
        <f>COUNT(C21:C2191)</f>
        <v>14</v>
      </c>
      <c r="E17" s="16" t="s">
        <v>40</v>
      </c>
      <c r="F17" s="17">
        <f>ROUND(2*(F16-$C$7)/$C$8,0)/2+F15</f>
        <v>92884.5</v>
      </c>
    </row>
    <row r="18" spans="1:6" ht="14.25" thickBot="1" thickTop="1">
      <c r="A18" s="18" t="s">
        <v>5</v>
      </c>
      <c r="B18" s="12"/>
      <c r="C18" s="21">
        <f>+C15</f>
        <v>56002.59012248703</v>
      </c>
      <c r="D18" s="22">
        <f>+C16</f>
        <v>0.0797527648436131</v>
      </c>
      <c r="E18" s="16" t="s">
        <v>34</v>
      </c>
      <c r="F18" s="25">
        <f>ROUND(2*(F16-$C$15)/$C$16,0)/2+F15</f>
        <v>48966.5</v>
      </c>
    </row>
    <row r="19" spans="5:6" ht="13.5" thickTop="1">
      <c r="E19" s="16" t="s">
        <v>35</v>
      </c>
      <c r="F19" s="20">
        <f>+$C$15+$C$16*F18-15018.5-$C$5/24</f>
        <v>44889.69971553515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8" t="s">
        <v>38</v>
      </c>
    </row>
    <row r="21" spans="1:17" ht="12.75">
      <c r="A21" s="33" t="s">
        <v>41</v>
      </c>
      <c r="B21" s="33"/>
      <c r="C21" s="34">
        <v>0.07975276123829422</v>
      </c>
      <c r="D21" s="34" t="s">
        <v>13</v>
      </c>
      <c r="E21">
        <f aca="true" t="shared" si="0" ref="E21:E34">+(C21-C$7)/C$8</f>
        <v>-658283.509379155</v>
      </c>
      <c r="F21">
        <f aca="true" t="shared" si="1" ref="F21:F34">ROUND(2*E21,0)/2</f>
        <v>-658283.5</v>
      </c>
      <c r="G21">
        <f aca="true" t="shared" si="2" ref="G21:G34">+C21-(C$7+F21*C$8)</f>
        <v>-0.0007480135093396179</v>
      </c>
      <c r="H21">
        <f>+G21</f>
        <v>-0.0007480135093396179</v>
      </c>
      <c r="O21">
        <f aca="true" t="shared" si="3" ref="O21:O34">+C$11+C$12*$F21</f>
        <v>-0.001480620098989282</v>
      </c>
      <c r="Q21" s="2">
        <f aca="true" t="shared" si="4" ref="Q21:Q34">+C21-15018.5</f>
        <v>-15018.420247238762</v>
      </c>
    </row>
    <row r="22" spans="1:17" ht="12.75">
      <c r="A22" s="31" t="s">
        <v>46</v>
      </c>
      <c r="B22" s="32" t="s">
        <v>45</v>
      </c>
      <c r="C22" s="31">
        <v>42805.9813</v>
      </c>
      <c r="D22" s="31" t="s">
        <v>44</v>
      </c>
      <c r="E22">
        <f t="shared" si="0"/>
        <v>-121550.97645357394</v>
      </c>
      <c r="F22">
        <f t="shared" si="1"/>
        <v>-121551</v>
      </c>
      <c r="G22">
        <f t="shared" si="2"/>
        <v>0.00187789249321213</v>
      </c>
      <c r="I22">
        <f>+G22</f>
        <v>0.00187789249321213</v>
      </c>
      <c r="O22">
        <f t="shared" si="3"/>
        <v>0.00045447171305951065</v>
      </c>
      <c r="Q22" s="2">
        <f t="shared" si="4"/>
        <v>27787.4813</v>
      </c>
    </row>
    <row r="23" spans="1:17" ht="12.75">
      <c r="A23" s="31" t="s">
        <v>46</v>
      </c>
      <c r="B23" s="32" t="s">
        <v>45</v>
      </c>
      <c r="C23" s="31">
        <v>42806.9378</v>
      </c>
      <c r="D23" s="31" t="s">
        <v>44</v>
      </c>
      <c r="E23">
        <f t="shared" si="0"/>
        <v>-121538.98313841909</v>
      </c>
      <c r="F23">
        <f t="shared" si="1"/>
        <v>-121539</v>
      </c>
      <c r="G23">
        <f t="shared" si="2"/>
        <v>0.0013447576347971335</v>
      </c>
      <c r="I23">
        <f>+G23</f>
        <v>0.0013447576347971335</v>
      </c>
      <c r="O23">
        <f t="shared" si="3"/>
        <v>0.0004545149768859877</v>
      </c>
      <c r="Q23" s="2">
        <f t="shared" si="4"/>
        <v>27788.4378</v>
      </c>
    </row>
    <row r="24" spans="1:17" ht="12.75">
      <c r="A24" s="31" t="s">
        <v>46</v>
      </c>
      <c r="B24" s="32" t="s">
        <v>45</v>
      </c>
      <c r="C24" s="31">
        <v>42807.7345</v>
      </c>
      <c r="D24" s="31" t="s">
        <v>44</v>
      </c>
      <c r="E24">
        <f t="shared" si="0"/>
        <v>-121528.99351564454</v>
      </c>
      <c r="F24">
        <f t="shared" si="1"/>
        <v>-121529</v>
      </c>
      <c r="G24">
        <f t="shared" si="2"/>
        <v>0.000517145250341855</v>
      </c>
      <c r="I24">
        <f>+G24</f>
        <v>0.000517145250341855</v>
      </c>
      <c r="O24">
        <f t="shared" si="3"/>
        <v>0.0004545510300747185</v>
      </c>
      <c r="Q24" s="2">
        <f t="shared" si="4"/>
        <v>27789.2345</v>
      </c>
    </row>
    <row r="25" spans="1:17" ht="12.75">
      <c r="A25" s="31" t="s">
        <v>46</v>
      </c>
      <c r="B25" s="32" t="s">
        <v>45</v>
      </c>
      <c r="C25" s="31">
        <v>42807.8938</v>
      </c>
      <c r="D25" s="31" t="s">
        <v>44</v>
      </c>
      <c r="E25">
        <f t="shared" si="0"/>
        <v>-121526.99609263967</v>
      </c>
      <c r="F25">
        <f t="shared" si="1"/>
        <v>-121527</v>
      </c>
      <c r="G25">
        <f t="shared" si="2"/>
        <v>0.0003116227744612843</v>
      </c>
      <c r="I25">
        <f>+G25</f>
        <v>0.0003116227744612843</v>
      </c>
      <c r="O25">
        <f t="shared" si="3"/>
        <v>0.0004545582407124647</v>
      </c>
      <c r="Q25" s="2">
        <f t="shared" si="4"/>
        <v>27789.393799999998</v>
      </c>
    </row>
    <row r="26" spans="1:17" ht="12.75">
      <c r="A26" s="51" t="s">
        <v>67</v>
      </c>
      <c r="B26" s="53" t="s">
        <v>95</v>
      </c>
      <c r="C26" s="52">
        <v>51562.469</v>
      </c>
      <c r="D26" s="10"/>
      <c r="E26">
        <f t="shared" si="0"/>
        <v>-11755.559165934405</v>
      </c>
      <c r="F26">
        <f t="shared" si="1"/>
        <v>-11755.5</v>
      </c>
      <c r="G26">
        <f t="shared" si="2"/>
        <v>-0.004718646639958024</v>
      </c>
      <c r="K26">
        <f>+G26</f>
        <v>-0.004718646639958024</v>
      </c>
      <c r="O26">
        <f t="shared" si="3"/>
        <v>0.0008503195013894575</v>
      </c>
      <c r="Q26" s="2">
        <f t="shared" si="4"/>
        <v>36543.969</v>
      </c>
    </row>
    <row r="27" spans="1:17" ht="12.75">
      <c r="A27" s="51" t="s">
        <v>67</v>
      </c>
      <c r="B27" s="53" t="s">
        <v>50</v>
      </c>
      <c r="C27" s="52">
        <v>51562.513</v>
      </c>
      <c r="D27" s="10"/>
      <c r="E27">
        <f t="shared" si="0"/>
        <v>-11755.00746089851</v>
      </c>
      <c r="F27">
        <f t="shared" si="1"/>
        <v>-11755</v>
      </c>
      <c r="G27">
        <f t="shared" si="2"/>
        <v>-0.0005950272607151419</v>
      </c>
      <c r="K27">
        <f>+G27</f>
        <v>-0.0005950272607151419</v>
      </c>
      <c r="O27">
        <f t="shared" si="3"/>
        <v>0.000850321304048894</v>
      </c>
      <c r="Q27" s="2">
        <f t="shared" si="4"/>
        <v>36544.013</v>
      </c>
    </row>
    <row r="28" spans="1:17" ht="12.75">
      <c r="A28" s="51" t="s">
        <v>67</v>
      </c>
      <c r="B28" s="53" t="s">
        <v>95</v>
      </c>
      <c r="C28" s="52">
        <v>51562.549</v>
      </c>
      <c r="D28" s="10"/>
      <c r="E28">
        <f t="shared" si="0"/>
        <v>-11754.556065869157</v>
      </c>
      <c r="F28">
        <f t="shared" si="1"/>
        <v>-11754.5</v>
      </c>
      <c r="G28">
        <f t="shared" si="2"/>
        <v>-0.004471407875826117</v>
      </c>
      <c r="K28">
        <f>+G28</f>
        <v>-0.004471407875826117</v>
      </c>
      <c r="O28">
        <f t="shared" si="3"/>
        <v>0.0008503231067083306</v>
      </c>
      <c r="Q28" s="2">
        <f t="shared" si="4"/>
        <v>36544.049</v>
      </c>
    </row>
    <row r="29" spans="1:17" ht="12.75">
      <c r="A29" s="51" t="s">
        <v>67</v>
      </c>
      <c r="B29" s="53" t="s">
        <v>50</v>
      </c>
      <c r="C29" s="52">
        <v>51563.551</v>
      </c>
      <c r="D29" s="10"/>
      <c r="E29">
        <f t="shared" si="0"/>
        <v>-11741.992237552211</v>
      </c>
      <c r="F29">
        <f t="shared" si="1"/>
        <v>-11742</v>
      </c>
      <c r="G29">
        <f t="shared" si="2"/>
        <v>0.0006190766434883699</v>
      </c>
      <c r="K29">
        <f>+G29</f>
        <v>0.0006190766434883699</v>
      </c>
      <c r="O29">
        <f t="shared" si="3"/>
        <v>0.0008503681731942442</v>
      </c>
      <c r="Q29" s="2">
        <f t="shared" si="4"/>
        <v>36545.051</v>
      </c>
    </row>
    <row r="30" spans="1:17" ht="12.75">
      <c r="A30" s="30" t="s">
        <v>43</v>
      </c>
      <c r="C30" s="10">
        <v>52500.004</v>
      </c>
      <c r="E30">
        <f t="shared" si="0"/>
        <v>-0.04142030135360944</v>
      </c>
      <c r="F30">
        <f t="shared" si="1"/>
        <v>0</v>
      </c>
      <c r="G30">
        <f t="shared" si="2"/>
        <v>-0.0033033834042726085</v>
      </c>
      <c r="H30">
        <f>+G30</f>
        <v>-0.0033033834042726085</v>
      </c>
      <c r="O30">
        <f t="shared" si="3"/>
        <v>0.0008927018274020235</v>
      </c>
      <c r="Q30" s="2">
        <f t="shared" si="4"/>
        <v>37481.504</v>
      </c>
    </row>
    <row r="31" spans="1:17" ht="12.75">
      <c r="A31" s="35" t="s">
        <v>49</v>
      </c>
      <c r="B31" s="36" t="s">
        <v>50</v>
      </c>
      <c r="C31" s="37">
        <v>56002.3709</v>
      </c>
      <c r="D31" s="37">
        <v>0.0001</v>
      </c>
      <c r="E31">
        <f t="shared" si="0"/>
        <v>43915.26440259344</v>
      </c>
      <c r="F31">
        <f t="shared" si="1"/>
        <v>43915.5</v>
      </c>
      <c r="G31">
        <f t="shared" si="2"/>
        <v>-0.018789543712045997</v>
      </c>
      <c r="I31">
        <f>+G31</f>
        <v>-0.018789543712045997</v>
      </c>
      <c r="O31">
        <f t="shared" si="3"/>
        <v>0.001051031208373045</v>
      </c>
      <c r="Q31" s="2">
        <f t="shared" si="4"/>
        <v>40983.8709</v>
      </c>
    </row>
    <row r="32" spans="1:17" ht="12.75">
      <c r="A32" s="35" t="s">
        <v>49</v>
      </c>
      <c r="B32" s="36" t="s">
        <v>50</v>
      </c>
      <c r="C32" s="37">
        <v>56002.399</v>
      </c>
      <c r="D32" s="37">
        <v>0.0004</v>
      </c>
      <c r="E32">
        <f t="shared" si="0"/>
        <v>43915.61674149131</v>
      </c>
      <c r="F32">
        <f t="shared" si="1"/>
        <v>43915.5</v>
      </c>
      <c r="G32">
        <f t="shared" si="2"/>
        <v>0.009310456283856183</v>
      </c>
      <c r="I32">
        <f>+G32</f>
        <v>0.009310456283856183</v>
      </c>
      <c r="O32">
        <f t="shared" si="3"/>
        <v>0.001051031208373045</v>
      </c>
      <c r="Q32" s="2">
        <f t="shared" si="4"/>
        <v>40983.899</v>
      </c>
    </row>
    <row r="33" spans="1:17" ht="12.75">
      <c r="A33" s="35" t="s">
        <v>49</v>
      </c>
      <c r="B33" s="36" t="s">
        <v>50</v>
      </c>
      <c r="C33" s="37">
        <v>56002.6089</v>
      </c>
      <c r="D33" s="37">
        <v>0.0002</v>
      </c>
      <c r="E33">
        <f t="shared" si="0"/>
        <v>43918.24862528746</v>
      </c>
      <c r="F33">
        <f t="shared" si="1"/>
        <v>43918</v>
      </c>
      <c r="G33">
        <f t="shared" si="2"/>
        <v>0.019828553187835496</v>
      </c>
      <c r="I33">
        <f>+G33</f>
        <v>0.019828553187835496</v>
      </c>
      <c r="O33">
        <f t="shared" si="3"/>
        <v>0.0010510402216702276</v>
      </c>
      <c r="Q33" s="2">
        <f t="shared" si="4"/>
        <v>40984.1089</v>
      </c>
    </row>
    <row r="34" spans="1:17" ht="12.75">
      <c r="A34" s="35" t="s">
        <v>49</v>
      </c>
      <c r="B34" s="36" t="s">
        <v>50</v>
      </c>
      <c r="C34" s="37">
        <v>56002.6366</v>
      </c>
      <c r="D34" s="37">
        <v>0.0002</v>
      </c>
      <c r="E34">
        <f t="shared" si="0"/>
        <v>43918.595948685026</v>
      </c>
      <c r="F34">
        <f t="shared" si="1"/>
        <v>43918.5</v>
      </c>
      <c r="G34">
        <f t="shared" si="2"/>
        <v>0.0076521725713973865</v>
      </c>
      <c r="I34">
        <f>+G34</f>
        <v>0.0076521725713973865</v>
      </c>
      <c r="O34">
        <f t="shared" si="3"/>
        <v>0.0010510420243296642</v>
      </c>
      <c r="Q34" s="2">
        <f t="shared" si="4"/>
        <v>40984.1366</v>
      </c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4"/>
  <sheetViews>
    <sheetView zoomScalePageLayoutView="0" workbookViewId="0" topLeftCell="A1">
      <selection activeCell="A15" sqref="A15:C18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8" t="s">
        <v>51</v>
      </c>
      <c r="I1" s="39" t="s">
        <v>52</v>
      </c>
      <c r="J1" s="40" t="s">
        <v>53</v>
      </c>
    </row>
    <row r="2" spans="9:10" ht="12.75">
      <c r="I2" s="41" t="s">
        <v>54</v>
      </c>
      <c r="J2" s="42" t="s">
        <v>44</v>
      </c>
    </row>
    <row r="3" spans="1:10" ht="12.75">
      <c r="A3" s="43" t="s">
        <v>55</v>
      </c>
      <c r="I3" s="41" t="s">
        <v>56</v>
      </c>
      <c r="J3" s="42" t="s">
        <v>57</v>
      </c>
    </row>
    <row r="4" spans="9:10" ht="12.75">
      <c r="I4" s="41" t="s">
        <v>58</v>
      </c>
      <c r="J4" s="42" t="s">
        <v>57</v>
      </c>
    </row>
    <row r="5" spans="9:10" ht="13.5" thickBot="1">
      <c r="I5" s="44" t="s">
        <v>59</v>
      </c>
      <c r="J5" s="45" t="s">
        <v>60</v>
      </c>
    </row>
    <row r="10" ht="13.5" thickBot="1"/>
    <row r="11" spans="1:16" ht="12.75" customHeight="1" thickBot="1">
      <c r="A11" s="10" t="str">
        <f aca="true" t="shared" si="0" ref="A11:A18">P11</f>
        <v>BAVM 228 </v>
      </c>
      <c r="B11" s="3" t="str">
        <f aca="true" t="shared" si="1" ref="B11:B18">IF(H11=INT(H11),"I","II")</f>
        <v>I</v>
      </c>
      <c r="C11" s="10">
        <f aca="true" t="shared" si="2" ref="C11:C18">1*G11</f>
        <v>56002.3709</v>
      </c>
      <c r="D11" s="12" t="str">
        <f aca="true" t="shared" si="3" ref="D11:D18">VLOOKUP(F11,I$1:J$5,2,FALSE)</f>
        <v>vis</v>
      </c>
      <c r="E11" s="46">
        <f>VLOOKUP(C11,A!C$21:E$973,3,FALSE)</f>
        <v>43915.26440259344</v>
      </c>
      <c r="F11" s="3" t="s">
        <v>59</v>
      </c>
      <c r="G11" s="12" t="str">
        <f aca="true" t="shared" si="4" ref="G11:G18">MID(I11,3,LEN(I11)-3)</f>
        <v>56002.3709</v>
      </c>
      <c r="H11" s="10">
        <f aca="true" t="shared" si="5" ref="H11:H18">1*K11</f>
        <v>164121</v>
      </c>
      <c r="I11" s="47" t="s">
        <v>76</v>
      </c>
      <c r="J11" s="48" t="s">
        <v>77</v>
      </c>
      <c r="K11" s="47">
        <v>164121</v>
      </c>
      <c r="L11" s="47" t="s">
        <v>78</v>
      </c>
      <c r="M11" s="48" t="s">
        <v>79</v>
      </c>
      <c r="N11" s="48" t="s">
        <v>80</v>
      </c>
      <c r="O11" s="49" t="s">
        <v>81</v>
      </c>
      <c r="P11" s="50" t="s">
        <v>82</v>
      </c>
    </row>
    <row r="12" spans="1:16" ht="12.75" customHeight="1" thickBot="1">
      <c r="A12" s="10" t="str">
        <f t="shared" si="0"/>
        <v>BAVM 228 </v>
      </c>
      <c r="B12" s="3" t="str">
        <f t="shared" si="1"/>
        <v>II</v>
      </c>
      <c r="C12" s="10">
        <f t="shared" si="2"/>
        <v>56002.399</v>
      </c>
      <c r="D12" s="12" t="str">
        <f t="shared" si="3"/>
        <v>vis</v>
      </c>
      <c r="E12" s="46">
        <f>VLOOKUP(C12,A!C$21:E$973,3,FALSE)</f>
        <v>43915.61674149131</v>
      </c>
      <c r="F12" s="3" t="s">
        <v>59</v>
      </c>
      <c r="G12" s="12" t="str">
        <f t="shared" si="4"/>
        <v>56002.3990</v>
      </c>
      <c r="H12" s="10">
        <f t="shared" si="5"/>
        <v>164121.5</v>
      </c>
      <c r="I12" s="47" t="s">
        <v>83</v>
      </c>
      <c r="J12" s="48" t="s">
        <v>84</v>
      </c>
      <c r="K12" s="47" t="s">
        <v>85</v>
      </c>
      <c r="L12" s="47" t="s">
        <v>86</v>
      </c>
      <c r="M12" s="48" t="s">
        <v>79</v>
      </c>
      <c r="N12" s="48" t="s">
        <v>80</v>
      </c>
      <c r="O12" s="49" t="s">
        <v>81</v>
      </c>
      <c r="P12" s="50" t="s">
        <v>82</v>
      </c>
    </row>
    <row r="13" spans="1:16" ht="12.75" customHeight="1" thickBot="1">
      <c r="A13" s="10" t="str">
        <f t="shared" si="0"/>
        <v>BAVM 228 </v>
      </c>
      <c r="B13" s="3" t="str">
        <f t="shared" si="1"/>
        <v>I</v>
      </c>
      <c r="C13" s="10">
        <f t="shared" si="2"/>
        <v>56002.6089</v>
      </c>
      <c r="D13" s="12" t="str">
        <f t="shared" si="3"/>
        <v>vis</v>
      </c>
      <c r="E13" s="46">
        <f>VLOOKUP(C13,A!C$21:E$973,3,FALSE)</f>
        <v>43918.24862528746</v>
      </c>
      <c r="F13" s="3" t="s">
        <v>59</v>
      </c>
      <c r="G13" s="12" t="str">
        <f t="shared" si="4"/>
        <v>56002.6089</v>
      </c>
      <c r="H13" s="10">
        <f t="shared" si="5"/>
        <v>164124</v>
      </c>
      <c r="I13" s="47" t="s">
        <v>87</v>
      </c>
      <c r="J13" s="48" t="s">
        <v>88</v>
      </c>
      <c r="K13" s="47" t="s">
        <v>89</v>
      </c>
      <c r="L13" s="47" t="s">
        <v>90</v>
      </c>
      <c r="M13" s="48" t="s">
        <v>79</v>
      </c>
      <c r="N13" s="48" t="s">
        <v>80</v>
      </c>
      <c r="O13" s="49" t="s">
        <v>81</v>
      </c>
      <c r="P13" s="50" t="s">
        <v>82</v>
      </c>
    </row>
    <row r="14" spans="1:16" ht="12.75" customHeight="1" thickBot="1">
      <c r="A14" s="10" t="str">
        <f t="shared" si="0"/>
        <v>BAVM 228 </v>
      </c>
      <c r="B14" s="3" t="str">
        <f t="shared" si="1"/>
        <v>II</v>
      </c>
      <c r="C14" s="10">
        <f t="shared" si="2"/>
        <v>56002.6366</v>
      </c>
      <c r="D14" s="12" t="str">
        <f t="shared" si="3"/>
        <v>vis</v>
      </c>
      <c r="E14" s="46">
        <f>VLOOKUP(C14,A!C$21:E$973,3,FALSE)</f>
        <v>43918.595948685026</v>
      </c>
      <c r="F14" s="3" t="s">
        <v>59</v>
      </c>
      <c r="G14" s="12" t="str">
        <f t="shared" si="4"/>
        <v>56002.6366</v>
      </c>
      <c r="H14" s="10">
        <f t="shared" si="5"/>
        <v>164124.5</v>
      </c>
      <c r="I14" s="47" t="s">
        <v>91</v>
      </c>
      <c r="J14" s="48" t="s">
        <v>92</v>
      </c>
      <c r="K14" s="47" t="s">
        <v>93</v>
      </c>
      <c r="L14" s="47" t="s">
        <v>94</v>
      </c>
      <c r="M14" s="48" t="s">
        <v>79</v>
      </c>
      <c r="N14" s="48" t="s">
        <v>80</v>
      </c>
      <c r="O14" s="49" t="s">
        <v>81</v>
      </c>
      <c r="P14" s="50" t="s">
        <v>82</v>
      </c>
    </row>
    <row r="15" spans="1:16" ht="12.75" customHeight="1" thickBot="1">
      <c r="A15" s="10" t="str">
        <f t="shared" si="0"/>
        <v> BBS 127 </v>
      </c>
      <c r="B15" s="3" t="str">
        <f t="shared" si="1"/>
        <v>I</v>
      </c>
      <c r="C15" s="10">
        <f t="shared" si="2"/>
        <v>51562.469</v>
      </c>
      <c r="D15" s="12" t="str">
        <f t="shared" si="3"/>
        <v>vis</v>
      </c>
      <c r="E15" s="46">
        <f>VLOOKUP(C15,A!C$21:E$973,3,FALSE)</f>
        <v>-11755.559165934405</v>
      </c>
      <c r="F15" s="3" t="s">
        <v>59</v>
      </c>
      <c r="G15" s="12" t="str">
        <f t="shared" si="4"/>
        <v>51562.469</v>
      </c>
      <c r="H15" s="10">
        <f t="shared" si="5"/>
        <v>108725</v>
      </c>
      <c r="I15" s="47" t="s">
        <v>61</v>
      </c>
      <c r="J15" s="48" t="s">
        <v>62</v>
      </c>
      <c r="K15" s="47">
        <v>108725</v>
      </c>
      <c r="L15" s="47" t="s">
        <v>63</v>
      </c>
      <c r="M15" s="48" t="s">
        <v>64</v>
      </c>
      <c r="N15" s="48" t="s">
        <v>65</v>
      </c>
      <c r="O15" s="49" t="s">
        <v>66</v>
      </c>
      <c r="P15" s="49" t="s">
        <v>67</v>
      </c>
    </row>
    <row r="16" spans="1:16" ht="12.75" customHeight="1" thickBot="1">
      <c r="A16" s="10" t="str">
        <f t="shared" si="0"/>
        <v> BBS 127 </v>
      </c>
      <c r="B16" s="3" t="str">
        <f t="shared" si="1"/>
        <v>II</v>
      </c>
      <c r="C16" s="10">
        <f t="shared" si="2"/>
        <v>51562.513</v>
      </c>
      <c r="D16" s="12" t="str">
        <f t="shared" si="3"/>
        <v>vis</v>
      </c>
      <c r="E16" s="46">
        <f>VLOOKUP(C16,A!C$21:E$973,3,FALSE)</f>
        <v>-11755.00746089851</v>
      </c>
      <c r="F16" s="3" t="s">
        <v>59</v>
      </c>
      <c r="G16" s="12" t="str">
        <f t="shared" si="4"/>
        <v>51562.513</v>
      </c>
      <c r="H16" s="10">
        <f t="shared" si="5"/>
        <v>108725.5</v>
      </c>
      <c r="I16" s="47" t="s">
        <v>68</v>
      </c>
      <c r="J16" s="48" t="s">
        <v>69</v>
      </c>
      <c r="K16" s="47">
        <v>108725.5</v>
      </c>
      <c r="L16" s="47" t="s">
        <v>70</v>
      </c>
      <c r="M16" s="48" t="s">
        <v>64</v>
      </c>
      <c r="N16" s="48" t="s">
        <v>65</v>
      </c>
      <c r="O16" s="49" t="s">
        <v>66</v>
      </c>
      <c r="P16" s="49" t="s">
        <v>67</v>
      </c>
    </row>
    <row r="17" spans="1:16" ht="12.75" customHeight="1" thickBot="1">
      <c r="A17" s="10" t="str">
        <f t="shared" si="0"/>
        <v> BBS 127 </v>
      </c>
      <c r="B17" s="3" t="str">
        <f t="shared" si="1"/>
        <v>I</v>
      </c>
      <c r="C17" s="10">
        <f t="shared" si="2"/>
        <v>51562.549</v>
      </c>
      <c r="D17" s="12" t="str">
        <f t="shared" si="3"/>
        <v>vis</v>
      </c>
      <c r="E17" s="46">
        <f>VLOOKUP(C17,A!C$21:E$973,3,FALSE)</f>
        <v>-11754.556065869157</v>
      </c>
      <c r="F17" s="3" t="s">
        <v>59</v>
      </c>
      <c r="G17" s="12" t="str">
        <f t="shared" si="4"/>
        <v>51562.549</v>
      </c>
      <c r="H17" s="10">
        <f t="shared" si="5"/>
        <v>108726</v>
      </c>
      <c r="I17" s="47" t="s">
        <v>71</v>
      </c>
      <c r="J17" s="48" t="s">
        <v>72</v>
      </c>
      <c r="K17" s="47">
        <v>108726</v>
      </c>
      <c r="L17" s="47" t="s">
        <v>63</v>
      </c>
      <c r="M17" s="48" t="s">
        <v>64</v>
      </c>
      <c r="N17" s="48" t="s">
        <v>65</v>
      </c>
      <c r="O17" s="49" t="s">
        <v>66</v>
      </c>
      <c r="P17" s="49" t="s">
        <v>67</v>
      </c>
    </row>
    <row r="18" spans="1:16" ht="12.75" customHeight="1" thickBot="1">
      <c r="A18" s="10" t="str">
        <f t="shared" si="0"/>
        <v> BBS 127 </v>
      </c>
      <c r="B18" s="3" t="str">
        <f t="shared" si="1"/>
        <v>II</v>
      </c>
      <c r="C18" s="10">
        <f t="shared" si="2"/>
        <v>51563.551</v>
      </c>
      <c r="D18" s="12" t="str">
        <f t="shared" si="3"/>
        <v>vis</v>
      </c>
      <c r="E18" s="46">
        <f>VLOOKUP(C18,A!C$21:E$973,3,FALSE)</f>
        <v>-11741.992237552211</v>
      </c>
      <c r="F18" s="3" t="s">
        <v>59</v>
      </c>
      <c r="G18" s="12" t="str">
        <f t="shared" si="4"/>
        <v>51563.551</v>
      </c>
      <c r="H18" s="10">
        <f t="shared" si="5"/>
        <v>108738.5</v>
      </c>
      <c r="I18" s="47" t="s">
        <v>73</v>
      </c>
      <c r="J18" s="48" t="s">
        <v>74</v>
      </c>
      <c r="K18" s="47">
        <v>108738.5</v>
      </c>
      <c r="L18" s="47" t="s">
        <v>75</v>
      </c>
      <c r="M18" s="48" t="s">
        <v>64</v>
      </c>
      <c r="N18" s="48" t="s">
        <v>65</v>
      </c>
      <c r="O18" s="49" t="s">
        <v>66</v>
      </c>
      <c r="P18" s="49" t="s">
        <v>67</v>
      </c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</sheetData>
  <sheetProtection/>
  <hyperlinks>
    <hyperlink ref="P11" r:id="rId1" display="http://www.bav-astro.de/sfs/BAVM_link.php?BAVMnr=228"/>
    <hyperlink ref="P12" r:id="rId2" display="http://www.bav-astro.de/sfs/BAVM_link.php?BAVMnr=228"/>
    <hyperlink ref="P13" r:id="rId3" display="http://www.bav-astro.de/sfs/BAVM_link.php?BAVMnr=228"/>
    <hyperlink ref="P14" r:id="rId4" display="http://www.bav-astro.de/sfs/BAVM_link.php?BAVMnr=22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