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<sst xmlns="http://schemas.openxmlformats.org/spreadsheetml/2006/main" count="70" uniqueCount="54">
  <si>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GZ UMa / GSC 4151-0933</t>
  </si>
  <si>
    <t>UMa_GZ.xls</t>
  </si>
  <si>
    <t>EA</t>
  </si>
  <si>
    <t>IBVS 5557 Eph.</t>
  </si>
  <si>
    <t>IBVS 5557</t>
  </si>
  <si>
    <t>UMa</t>
  </si>
  <si>
    <t>System Type:</t>
  </si>
  <si>
    <t>--- Working ----</t>
  </si>
  <si>
    <t>Epoch =</t>
  </si>
  <si>
    <t>Period =</t>
  </si>
  <si>
    <t>My time zone &gt;&gt;&gt;&gt;&gt;</t>
  </si>
  <si>
    <t>(PST=8, PDT=MDT=7, MDT=CST=6, etc.)</t>
  </si>
  <si>
    <t>Linear</t>
  </si>
  <si>
    <t>Quadratic</t>
  </si>
  <si>
    <t>LS Intercept =</t>
  </si>
  <si>
    <t>LS Slope =</t>
  </si>
  <si>
    <t>LS Quadr term =</t>
  </si>
  <si>
    <t>na</t>
  </si>
  <si>
    <t>Add cycle</t>
  </si>
  <si>
    <t>JD today</t>
  </si>
  <si>
    <t>New epoch =</t>
  </si>
  <si>
    <t>Old Cycle</t>
  </si>
  <si>
    <t>New Period =</t>
  </si>
  <si>
    <t>New Cycle</t>
  </si>
  <si>
    <t># of data points:</t>
  </si>
  <si>
    <t>Next ToM</t>
  </si>
  <si>
    <t>New Ephemeris =</t>
  </si>
  <si>
    <t>Local time</t>
  </si>
  <si>
    <t>Start of linear fit &gt;&gt;&gt;&gt;&gt;&gt;&gt;&gt;&gt;&gt;&gt;&gt;&gt;&gt;&gt;&gt;&gt;&gt;&gt;&gt;&gt;</t>
  </si>
  <si>
    <t>Source</t>
  </si>
  <si>
    <t>Typ</t>
  </si>
  <si>
    <t>ToM</t>
  </si>
  <si>
    <t>error</t>
  </si>
  <si>
    <t>n'</t>
  </si>
  <si>
    <t>n</t>
  </si>
  <si>
    <t>O-C</t>
  </si>
  <si>
    <t>IBVS</t>
  </si>
  <si>
    <t>OEJV</t>
  </si>
  <si>
    <t>S3</t>
  </si>
  <si>
    <t>S4</t>
  </si>
  <si>
    <t>S5</t>
  </si>
  <si>
    <t>S6</t>
  </si>
  <si>
    <t>Misc</t>
  </si>
  <si>
    <t>Lin Fit</t>
  </si>
  <si>
    <t>Q. Fit</t>
  </si>
  <si>
    <t>Date</t>
  </si>
  <si>
    <t>OEJV 0147</t>
  </si>
  <si>
    <t>I</t>
  </si>
  <si>
    <t>II</t>
  </si>
  <si>
    <t>OEJV 0137</t>
  </si>
  <si>
    <t>OEJV 0160</t>
  </si>
  <si>
    <t>OEJV 0165</t>
  </si>
  <si>
    <t>OEJV 0172</t>
  </si>
  <si>
    <t>OEJV 0211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</si>
</sst>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0.000"/>
    <numFmt numFmtId="168" formatCode="[$-C09]dddd\,\ d\ mmmm\ yyyy"/>
    <numFmt numFmtId="169" formatCode="d/mm/yyyy;@"/>
  </numFmts>
  <fonts count="48">
    <font>
      <sz val="10"/>
      <name val="Arial"/>
      <family val="2"/>
    </font>
    <font>
      <sz val="16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6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12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167" fontId="9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 horizontal="left"/>
      <protection/>
    </xf>
    <xf numFmtId="169" fontId="0" fillId="0" borderId="0" xfId="0" applyNumberForma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GZ UMa - O-C Diagr.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8775"/>
          <c:w val="0.90775"/>
          <c:h val="0.6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A!$F$21:$F$31</c:f>
              <c:numCache/>
            </c:numRef>
          </c:xVal>
          <c:yVal>
            <c:numRef>
              <c:f>A!$H$21:$H$31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A!$F$21:$F$31</c:f>
              <c:numCache/>
            </c:numRef>
          </c:xVal>
          <c:yVal>
            <c:numRef>
              <c:f>A!$I$21:$I$31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A!$F$21:$F$31</c:f>
              <c:numCache/>
            </c:numRef>
          </c:xVal>
          <c:yVal>
            <c:numRef>
              <c:f>A!$J$21:$J$31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A!$F$21:$F$31</c:f>
              <c:numCache/>
            </c:numRef>
          </c:xVal>
          <c:yVal>
            <c:numRef>
              <c:f>A!$K$21:$K$31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A!$F$21:$F$31</c:f>
              <c:numCache/>
            </c:numRef>
          </c:xVal>
          <c:yVal>
            <c:numRef>
              <c:f>A!$L$21:$L$31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A!$F$21:$F$31</c:f>
              <c:numCache/>
            </c:numRef>
          </c:xVal>
          <c:yVal>
            <c:numRef>
              <c:f>A!$M$21:$M$31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A!$F$21:$F$31</c:f>
              <c:numCache/>
            </c:numRef>
          </c:xVal>
          <c:yVal>
            <c:numRef>
              <c:f>A!$N$21:$N$31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A!$F$21:$F$31</c:f>
              <c:numCache/>
            </c:numRef>
          </c:xVal>
          <c:yVal>
            <c:numRef>
              <c:f>A!$O$21:$O$31</c:f>
              <c:numCache/>
            </c:numRef>
          </c:yVal>
          <c:smooth val="0"/>
        </c:ser>
        <c:axId val="35117553"/>
        <c:axId val="47622522"/>
      </c:scatterChart>
      <c:valAx>
        <c:axId val="35117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22522"/>
        <c:crossesAt val="0"/>
        <c:crossBetween val="midCat"/>
        <c:dispUnits/>
      </c:valAx>
      <c:valAx>
        <c:axId val="47622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17553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6"/>
          <c:y val="0.926"/>
          <c:w val="0.656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4103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E6" sqref="E6"/>
    </sheetView>
  </sheetViews>
  <sheetFormatPr defaultColWidth="10.28125" defaultRowHeight="12.75"/>
  <cols>
    <col min="1" max="1" width="14.421875" style="1" customWidth="1"/>
    <col min="2" max="2" width="3.8515625" style="1" customWidth="1"/>
    <col min="3" max="3" width="11.8515625" style="1" customWidth="1"/>
    <col min="4" max="4" width="9.421875" style="1" customWidth="1"/>
    <col min="5" max="5" width="15.421875" style="1" customWidth="1"/>
    <col min="6" max="6" width="10.281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spans="1:12" ht="20.25">
      <c r="A1" s="2" t="s">
        <v>0</v>
      </c>
      <c r="E1"/>
      <c r="F1" t="s">
        <v>1</v>
      </c>
      <c r="G1" s="3" t="s">
        <v>2</v>
      </c>
      <c r="H1" s="4" t="s">
        <v>3</v>
      </c>
      <c r="I1" s="3">
        <v>51556.83</v>
      </c>
      <c r="J1" s="3">
        <v>6.542</v>
      </c>
      <c r="K1" s="3" t="s">
        <v>4</v>
      </c>
      <c r="L1" s="3" t="s">
        <v>5</v>
      </c>
    </row>
    <row r="2" spans="1:5" ht="12.75">
      <c r="A2" s="1" t="s">
        <v>6</v>
      </c>
      <c r="B2" s="1" t="s">
        <v>2</v>
      </c>
      <c r="D2" s="3" t="s">
        <v>5</v>
      </c>
      <c r="E2" s="1" t="s">
        <v>1</v>
      </c>
    </row>
    <row r="4" spans="1:4" ht="12.75">
      <c r="A4" s="5" t="s">
        <v>3</v>
      </c>
      <c r="C4" s="6">
        <v>51556.83</v>
      </c>
      <c r="D4" s="7">
        <v>6.542</v>
      </c>
    </row>
    <row r="6" ht="12.75">
      <c r="A6" s="8" t="s">
        <v>7</v>
      </c>
    </row>
    <row r="7" spans="1:3" ht="12.75">
      <c r="A7" s="1" t="s">
        <v>8</v>
      </c>
      <c r="C7" s="1">
        <f>+C4</f>
        <v>51556.83</v>
      </c>
    </row>
    <row r="8" spans="1:3" ht="12.75">
      <c r="A8" s="1" t="s">
        <v>9</v>
      </c>
      <c r="C8" s="1">
        <f>+D4</f>
        <v>6.542</v>
      </c>
    </row>
    <row r="9" spans="1:5" ht="12.75">
      <c r="A9" s="4" t="s">
        <v>10</v>
      </c>
      <c r="B9"/>
      <c r="C9" s="9">
        <v>-9.5</v>
      </c>
      <c r="D9" t="s">
        <v>11</v>
      </c>
      <c r="E9"/>
    </row>
    <row r="10" spans="1:5" ht="12.75">
      <c r="A10"/>
      <c r="B10"/>
      <c r="C10" s="10" t="s">
        <v>12</v>
      </c>
      <c r="D10" s="10" t="s">
        <v>13</v>
      </c>
      <c r="E10"/>
    </row>
    <row r="11" spans="1:7" ht="12.75">
      <c r="A11" t="s">
        <v>14</v>
      </c>
      <c r="B11"/>
      <c r="C11" s="11">
        <f ca="1">INTERCEPT(INDIRECT($G$11):G992,INDIRECT($F$11):F992)</f>
        <v>-0.0007312454885919761</v>
      </c>
      <c r="D11" s="12"/>
      <c r="E11"/>
      <c r="F11" s="13" t="str">
        <f>"F"&amp;E19</f>
        <v>F21</v>
      </c>
      <c r="G11" s="14" t="str">
        <f>"G"&amp;E19</f>
        <v>G21</v>
      </c>
    </row>
    <row r="12" spans="1:5" ht="12.75">
      <c r="A12" t="s">
        <v>15</v>
      </c>
      <c r="B12"/>
      <c r="C12" s="11">
        <f ca="1">SLOPE(INDIRECT($G$11):G992,INDIRECT($F$11):F992)</f>
        <v>-2.1310119295840846E-05</v>
      </c>
      <c r="D12" s="12"/>
      <c r="E12"/>
    </row>
    <row r="13" spans="1:5" ht="12.75">
      <c r="A13" t="s">
        <v>16</v>
      </c>
      <c r="B13"/>
      <c r="C13" s="12" t="s">
        <v>17</v>
      </c>
      <c r="D13" s="15" t="s">
        <v>18</v>
      </c>
      <c r="E13" s="9">
        <v>1</v>
      </c>
    </row>
    <row r="14" spans="1:5" ht="12.75">
      <c r="A14"/>
      <c r="B14"/>
      <c r="C14"/>
      <c r="D14" s="15" t="s">
        <v>19</v>
      </c>
      <c r="E14" s="11">
        <f ca="1">NOW()+15018.5+$C$9/24</f>
        <v>59907.735974999996</v>
      </c>
    </row>
    <row r="15" spans="1:5" ht="12.75">
      <c r="A15" s="16" t="s">
        <v>20</v>
      </c>
      <c r="B15"/>
      <c r="C15" s="17">
        <f>(C7+C11)+(C8+C12)*INT(MAX(F21:F3533))</f>
        <v>58118.43389470486</v>
      </c>
      <c r="D15" s="15" t="s">
        <v>21</v>
      </c>
      <c r="E15" s="11">
        <f>ROUND(2*(E14-$C$7)/$C$8,0)/2+E13</f>
        <v>1277.5</v>
      </c>
    </row>
    <row r="16" spans="1:5" ht="12.75">
      <c r="A16" s="16" t="s">
        <v>22</v>
      </c>
      <c r="B16"/>
      <c r="C16" s="17">
        <f>+C8+C12</f>
        <v>6.541978689880704</v>
      </c>
      <c r="D16" s="15" t="s">
        <v>23</v>
      </c>
      <c r="E16" s="14">
        <f>ROUND(2*(E14-$C$15)/$C$16,0)/2+E13</f>
        <v>274.5</v>
      </c>
    </row>
    <row r="17" spans="1:5" ht="12.75">
      <c r="A17" s="15" t="s">
        <v>24</v>
      </c>
      <c r="B17"/>
      <c r="C17">
        <f>COUNT(C21:C2191)</f>
        <v>11</v>
      </c>
      <c r="D17" s="15" t="s">
        <v>25</v>
      </c>
      <c r="E17" s="18">
        <f>+$C$15+$C$16*E16-15018.5-$C$9/24</f>
        <v>44896.10287841045</v>
      </c>
    </row>
    <row r="18" spans="1:5" ht="12.75">
      <c r="A18" s="16" t="s">
        <v>26</v>
      </c>
      <c r="B18"/>
      <c r="C18" s="19">
        <f>+C15</f>
        <v>58118.43389470486</v>
      </c>
      <c r="D18" s="20">
        <f>+C16</f>
        <v>6.541978689880704</v>
      </c>
      <c r="E18" s="21" t="s">
        <v>27</v>
      </c>
    </row>
    <row r="19" spans="1:5" ht="12.75">
      <c r="A19" s="22" t="s">
        <v>28</v>
      </c>
      <c r="E19" s="23">
        <v>21</v>
      </c>
    </row>
    <row r="20" spans="1:17" ht="12.75">
      <c r="A20" s="10" t="s">
        <v>29</v>
      </c>
      <c r="B20" s="10" t="s">
        <v>30</v>
      </c>
      <c r="C20" s="10" t="s">
        <v>31</v>
      </c>
      <c r="D20" s="10" t="s">
        <v>32</v>
      </c>
      <c r="E20" s="10" t="s">
        <v>33</v>
      </c>
      <c r="F20" s="10" t="s">
        <v>34</v>
      </c>
      <c r="G20" s="10" t="s">
        <v>35</v>
      </c>
      <c r="H20" s="24" t="s">
        <v>36</v>
      </c>
      <c r="I20" s="24" t="s">
        <v>37</v>
      </c>
      <c r="J20" s="24" t="s">
        <v>38</v>
      </c>
      <c r="K20" s="24" t="s">
        <v>39</v>
      </c>
      <c r="L20" s="24" t="s">
        <v>40</v>
      </c>
      <c r="M20" s="24" t="s">
        <v>41</v>
      </c>
      <c r="N20" s="24" t="s">
        <v>42</v>
      </c>
      <c r="O20" s="24" t="s">
        <v>43</v>
      </c>
      <c r="P20" s="24" t="s">
        <v>44</v>
      </c>
      <c r="Q20" s="10" t="s">
        <v>45</v>
      </c>
    </row>
    <row r="21" spans="1:17" ht="12.75">
      <c r="A21" s="25" t="str">
        <f>$K$1</f>
        <v>IBVS 5557</v>
      </c>
      <c r="B21" s="25"/>
      <c r="C21" s="26">
        <f>+$C$4</f>
        <v>51556.83</v>
      </c>
      <c r="D21" s="26" t="s">
        <v>17</v>
      </c>
      <c r="E21" s="1">
        <f aca="true" t="shared" si="0" ref="E21:E30">+(C21-C$7)/C$8</f>
        <v>0</v>
      </c>
      <c r="F21" s="1">
        <f aca="true" t="shared" si="1" ref="F21:F31">ROUND(2*E21,0)/2</f>
        <v>0</v>
      </c>
      <c r="G21" s="1">
        <f aca="true" t="shared" si="2" ref="G21:G30">+C21-(C$7+F21*C$8)</f>
        <v>0</v>
      </c>
      <c r="H21" s="1">
        <f>+G21</f>
        <v>0</v>
      </c>
      <c r="O21" s="1">
        <f aca="true" t="shared" si="3" ref="O21:O30">+C$11+C$12*$F21</f>
        <v>-0.0007312454885919761</v>
      </c>
      <c r="Q21" s="40">
        <f aca="true" t="shared" si="4" ref="Q21:Q30">+C21-15018.5</f>
        <v>36538.33</v>
      </c>
    </row>
    <row r="22" spans="1:17" ht="12.75">
      <c r="A22" s="27" t="s">
        <v>46</v>
      </c>
      <c r="B22" s="28" t="s">
        <v>47</v>
      </c>
      <c r="C22" s="26">
        <v>53905.409</v>
      </c>
      <c r="D22" s="26">
        <v>0.01</v>
      </c>
      <c r="E22" s="1">
        <f t="shared" si="0"/>
        <v>359.00015285845274</v>
      </c>
      <c r="F22" s="1">
        <f t="shared" si="1"/>
        <v>359</v>
      </c>
      <c r="G22" s="1">
        <f t="shared" si="2"/>
        <v>0.000999999996565748</v>
      </c>
      <c r="I22" s="1">
        <f aca="true" t="shared" si="5" ref="I22:I30">+G22</f>
        <v>0.000999999996565748</v>
      </c>
      <c r="O22" s="1">
        <f t="shared" si="3"/>
        <v>-0.008381578315798839</v>
      </c>
      <c r="Q22" s="40">
        <f t="shared" si="4"/>
        <v>38886.909</v>
      </c>
    </row>
    <row r="23" spans="1:17" ht="12.75">
      <c r="A23" s="27" t="s">
        <v>46</v>
      </c>
      <c r="B23" s="28" t="s">
        <v>48</v>
      </c>
      <c r="C23" s="26">
        <v>54052.585</v>
      </c>
      <c r="D23" s="26">
        <v>0.01</v>
      </c>
      <c r="E23" s="1">
        <f t="shared" si="0"/>
        <v>381.4972485478443</v>
      </c>
      <c r="F23" s="1">
        <f t="shared" si="1"/>
        <v>381.5</v>
      </c>
      <c r="G23" s="1">
        <f t="shared" si="2"/>
        <v>-0.018000000003667083</v>
      </c>
      <c r="I23" s="1">
        <f t="shared" si="5"/>
        <v>-0.018000000003667083</v>
      </c>
      <c r="O23" s="1">
        <f t="shared" si="3"/>
        <v>-0.008861055999955259</v>
      </c>
      <c r="Q23" s="40">
        <f t="shared" si="4"/>
        <v>39034.085</v>
      </c>
    </row>
    <row r="24" spans="1:17" ht="12.75">
      <c r="A24" s="27" t="s">
        <v>49</v>
      </c>
      <c r="B24" s="28" t="s">
        <v>47</v>
      </c>
      <c r="C24" s="26">
        <v>55259.58808</v>
      </c>
      <c r="D24" s="26">
        <v>0.0002</v>
      </c>
      <c r="E24" s="1">
        <f t="shared" si="0"/>
        <v>565.9978722103332</v>
      </c>
      <c r="F24" s="1">
        <f t="shared" si="1"/>
        <v>566</v>
      </c>
      <c r="G24" s="1">
        <f t="shared" si="2"/>
        <v>-0.013919999997597188</v>
      </c>
      <c r="I24" s="1">
        <f t="shared" si="5"/>
        <v>-0.013919999997597188</v>
      </c>
      <c r="O24" s="1">
        <f t="shared" si="3"/>
        <v>-0.012792773010037894</v>
      </c>
      <c r="Q24" s="40">
        <f t="shared" si="4"/>
        <v>40241.08808</v>
      </c>
    </row>
    <row r="25" spans="1:17" ht="12.75">
      <c r="A25" s="29" t="s">
        <v>50</v>
      </c>
      <c r="B25" s="30" t="s">
        <v>47</v>
      </c>
      <c r="C25" s="31">
        <v>56221.26096</v>
      </c>
      <c r="D25" s="31">
        <v>0.0004</v>
      </c>
      <c r="E25" s="1">
        <f t="shared" si="0"/>
        <v>712.9977010088655</v>
      </c>
      <c r="F25" s="1">
        <f t="shared" si="1"/>
        <v>713</v>
      </c>
      <c r="G25" s="1">
        <f t="shared" si="2"/>
        <v>-0.015039999998407438</v>
      </c>
      <c r="I25" s="1">
        <f t="shared" si="5"/>
        <v>-0.015039999998407438</v>
      </c>
      <c r="O25" s="1">
        <f t="shared" si="3"/>
        <v>-0.015925360546526497</v>
      </c>
      <c r="Q25" s="40">
        <f t="shared" si="4"/>
        <v>41202.76096</v>
      </c>
    </row>
    <row r="26" spans="1:17" ht="12.75">
      <c r="A26" s="32" t="s">
        <v>51</v>
      </c>
      <c r="B26" s="33"/>
      <c r="C26" s="32">
        <v>56221.25929</v>
      </c>
      <c r="D26" s="32">
        <v>0.00036</v>
      </c>
      <c r="E26" s="1">
        <f t="shared" si="0"/>
        <v>712.9974457352491</v>
      </c>
      <c r="F26" s="1">
        <f t="shared" si="1"/>
        <v>713</v>
      </c>
      <c r="G26" s="1">
        <f t="shared" si="2"/>
        <v>-0.016709999996237457</v>
      </c>
      <c r="I26" s="1">
        <f t="shared" si="5"/>
        <v>-0.016709999996237457</v>
      </c>
      <c r="O26" s="1">
        <f t="shared" si="3"/>
        <v>-0.015925360546526497</v>
      </c>
      <c r="Q26" s="40">
        <f t="shared" si="4"/>
        <v>41202.75929</v>
      </c>
    </row>
    <row r="27" spans="1:17" ht="12.75">
      <c r="A27" s="34" t="s">
        <v>52</v>
      </c>
      <c r="B27" s="35" t="s">
        <v>47</v>
      </c>
      <c r="C27" s="36">
        <v>57025.923</v>
      </c>
      <c r="D27" s="36">
        <v>0.005</v>
      </c>
      <c r="E27" s="1">
        <f t="shared" si="0"/>
        <v>835.9970956893918</v>
      </c>
      <c r="F27" s="1">
        <f t="shared" si="1"/>
        <v>836</v>
      </c>
      <c r="G27" s="1">
        <f t="shared" si="2"/>
        <v>-0.01900000000023283</v>
      </c>
      <c r="I27" s="1">
        <f t="shared" si="5"/>
        <v>-0.01900000000023283</v>
      </c>
      <c r="O27" s="1">
        <f t="shared" si="3"/>
        <v>-0.018546505219914924</v>
      </c>
      <c r="Q27" s="40">
        <f t="shared" si="4"/>
        <v>42007.423</v>
      </c>
    </row>
    <row r="28" spans="1:17" ht="12.75">
      <c r="A28" s="34" t="s">
        <v>52</v>
      </c>
      <c r="B28" s="35" t="s">
        <v>47</v>
      </c>
      <c r="C28" s="36">
        <v>57025.923</v>
      </c>
      <c r="D28" s="36">
        <v>0.007</v>
      </c>
      <c r="E28" s="1">
        <f t="shared" si="0"/>
        <v>835.9970956893918</v>
      </c>
      <c r="F28" s="1">
        <f t="shared" si="1"/>
        <v>836</v>
      </c>
      <c r="G28" s="1">
        <f t="shared" si="2"/>
        <v>-0.01900000000023283</v>
      </c>
      <c r="I28" s="1">
        <f t="shared" si="5"/>
        <v>-0.01900000000023283</v>
      </c>
      <c r="O28" s="1">
        <f t="shared" si="3"/>
        <v>-0.018546505219914924</v>
      </c>
      <c r="Q28" s="40">
        <f t="shared" si="4"/>
        <v>42007.423</v>
      </c>
    </row>
    <row r="29" spans="1:17" ht="12.75">
      <c r="A29" s="34" t="s">
        <v>52</v>
      </c>
      <c r="B29" s="35" t="s">
        <v>48</v>
      </c>
      <c r="C29" s="36">
        <v>57029.191</v>
      </c>
      <c r="D29" s="36">
        <v>0.006</v>
      </c>
      <c r="E29" s="1">
        <f t="shared" si="0"/>
        <v>836.496637114032</v>
      </c>
      <c r="F29" s="1">
        <f t="shared" si="1"/>
        <v>836.5</v>
      </c>
      <c r="G29" s="1">
        <f t="shared" si="2"/>
        <v>-0.02200000000448199</v>
      </c>
      <c r="I29" s="1">
        <f t="shared" si="5"/>
        <v>-0.02200000000448199</v>
      </c>
      <c r="O29" s="1">
        <f t="shared" si="3"/>
        <v>-0.01855716027956284</v>
      </c>
      <c r="Q29" s="40">
        <f t="shared" si="4"/>
        <v>42010.691</v>
      </c>
    </row>
    <row r="30" spans="1:17" ht="12.75">
      <c r="A30" s="34" t="s">
        <v>52</v>
      </c>
      <c r="B30" s="35" t="s">
        <v>48</v>
      </c>
      <c r="C30" s="36">
        <v>57029.195</v>
      </c>
      <c r="D30" s="36">
        <v>0.006</v>
      </c>
      <c r="E30" s="1">
        <f t="shared" si="0"/>
        <v>836.4972485478444</v>
      </c>
      <c r="F30" s="1">
        <f t="shared" si="1"/>
        <v>836.5</v>
      </c>
      <c r="G30" s="1">
        <f t="shared" si="2"/>
        <v>-0.018000000003667083</v>
      </c>
      <c r="I30" s="1">
        <f t="shared" si="5"/>
        <v>-0.018000000003667083</v>
      </c>
      <c r="O30" s="1">
        <f t="shared" si="3"/>
        <v>-0.01855716027956284</v>
      </c>
      <c r="Q30" s="40">
        <f t="shared" si="4"/>
        <v>42010.695</v>
      </c>
    </row>
    <row r="31" spans="1:17" ht="12.75">
      <c r="A31" s="37" t="s">
        <v>53</v>
      </c>
      <c r="B31" s="38" t="s">
        <v>47</v>
      </c>
      <c r="C31" s="39">
        <v>58118.437739999965</v>
      </c>
      <c r="D31" s="39">
        <v>0.0005</v>
      </c>
      <c r="E31" s="1">
        <f>+(C31-C$7)/C$8</f>
        <v>1002.9972088046413</v>
      </c>
      <c r="F31" s="1">
        <f t="shared" si="1"/>
        <v>1003</v>
      </c>
      <c r="G31" s="1">
        <f>+C31-(C$7+F31*C$8)</f>
        <v>-0.018260000040754676</v>
      </c>
      <c r="I31" s="1">
        <f>+G31</f>
        <v>-0.018260000040754676</v>
      </c>
      <c r="O31" s="1">
        <f>+C$11+C$12*$F31</f>
        <v>-0.022105295142320347</v>
      </c>
      <c r="Q31" s="40">
        <f>+C31-15018.5</f>
        <v>43099.937739999965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2022-11-24T04:39:48Z</dcterms:modified>
  <cp:category/>
  <cp:version/>
  <cp:contentType/>
  <cp:contentStatus/>
</cp:coreProperties>
</file>