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98E626FE-DE25-4A10-9565-7ABC4420AEE4}" xr6:coauthVersionLast="47" xr6:coauthVersionMax="47" xr10:uidLastSave="{00000000-0000-0000-0000-000000000000}"/>
  <bookViews>
    <workbookView xWindow="13830" yWindow="525" windowWidth="13320" windowHeight="14295"/>
  </bookViews>
  <sheets>
    <sheet name="Active" sheetId="1" r:id="rId1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44" i="1" l="1"/>
  <c r="F44" i="1" s="1"/>
  <c r="G44" i="1" s="1"/>
  <c r="K44" i="1" s="1"/>
  <c r="Q44" i="1"/>
  <c r="E39" i="1"/>
  <c r="F39" i="1" s="1"/>
  <c r="D11" i="1"/>
  <c r="D12" i="1"/>
  <c r="W5" i="1" s="1"/>
  <c r="Q39" i="1"/>
  <c r="E33" i="1"/>
  <c r="F33" i="1" s="1"/>
  <c r="E34" i="1"/>
  <c r="F34" i="1"/>
  <c r="P34" i="1" s="1"/>
  <c r="E35" i="1"/>
  <c r="F35" i="1" s="1"/>
  <c r="E36" i="1"/>
  <c r="F36" i="1" s="1"/>
  <c r="G36" i="1" s="1"/>
  <c r="K36" i="1" s="1"/>
  <c r="E37" i="1"/>
  <c r="F37" i="1" s="1"/>
  <c r="E38" i="1"/>
  <c r="F38" i="1"/>
  <c r="P38" i="1" s="1"/>
  <c r="G38" i="1"/>
  <c r="K38" i="1" s="1"/>
  <c r="E40" i="1"/>
  <c r="F40" i="1" s="1"/>
  <c r="G40" i="1" s="1"/>
  <c r="K40" i="1" s="1"/>
  <c r="E41" i="1"/>
  <c r="F41" i="1" s="1"/>
  <c r="G41" i="1" s="1"/>
  <c r="K41" i="1" s="1"/>
  <c r="E42" i="1"/>
  <c r="F42" i="1"/>
  <c r="G42" i="1" s="1"/>
  <c r="K42" i="1" s="1"/>
  <c r="E43" i="1"/>
  <c r="F43" i="1" s="1"/>
  <c r="Q43" i="1"/>
  <c r="D9" i="1"/>
  <c r="C9" i="1"/>
  <c r="E32" i="1"/>
  <c r="F32" i="1"/>
  <c r="G32" i="1" s="1"/>
  <c r="K32" i="1" s="1"/>
  <c r="D13" i="1"/>
  <c r="E22" i="1"/>
  <c r="F22" i="1"/>
  <c r="G22" i="1" s="1"/>
  <c r="K22" i="1" s="1"/>
  <c r="E23" i="1"/>
  <c r="F23" i="1" s="1"/>
  <c r="E24" i="1"/>
  <c r="F24" i="1" s="1"/>
  <c r="G24" i="1" s="1"/>
  <c r="K24" i="1" s="1"/>
  <c r="E25" i="1"/>
  <c r="F25" i="1" s="1"/>
  <c r="E26" i="1"/>
  <c r="F26" i="1" s="1"/>
  <c r="E27" i="1"/>
  <c r="F27" i="1"/>
  <c r="G27" i="1" s="1"/>
  <c r="K27" i="1" s="1"/>
  <c r="E28" i="1"/>
  <c r="F28" i="1" s="1"/>
  <c r="E29" i="1"/>
  <c r="F29" i="1" s="1"/>
  <c r="E30" i="1"/>
  <c r="F30" i="1" s="1"/>
  <c r="E31" i="1"/>
  <c r="F31" i="1"/>
  <c r="G31" i="1" s="1"/>
  <c r="K31" i="1" s="1"/>
  <c r="E21" i="1"/>
  <c r="F21" i="1"/>
  <c r="G21" i="1" s="1"/>
  <c r="K21" i="1" s="1"/>
  <c r="Q21" i="1"/>
  <c r="Q38" i="1"/>
  <c r="Q42" i="1"/>
  <c r="Q41" i="1"/>
  <c r="Q40" i="1"/>
  <c r="Q36" i="1"/>
  <c r="Q37" i="1"/>
  <c r="Q34" i="1"/>
  <c r="Q33" i="1"/>
  <c r="Q31" i="1"/>
  <c r="Q29" i="1"/>
  <c r="Q35" i="1"/>
  <c r="Q30" i="1"/>
  <c r="Q32" i="1"/>
  <c r="Q28" i="1"/>
  <c r="Q24" i="1"/>
  <c r="Q25" i="1"/>
  <c r="Q26" i="1"/>
  <c r="Q27" i="1"/>
  <c r="F16" i="1"/>
  <c r="C17" i="1"/>
  <c r="Q22" i="1"/>
  <c r="Q23" i="1"/>
  <c r="W26" i="1"/>
  <c r="W25" i="1"/>
  <c r="W10" i="1"/>
  <c r="W14" i="1"/>
  <c r="W13" i="1"/>
  <c r="W7" i="1"/>
  <c r="W12" i="1"/>
  <c r="W28" i="1"/>
  <c r="W9" i="1"/>
  <c r="P22" i="1"/>
  <c r="R22" i="1" s="1"/>
  <c r="T22" i="1" s="1"/>
  <c r="W4" i="1"/>
  <c r="W31" i="1"/>
  <c r="P32" i="1"/>
  <c r="R32" i="1" s="1"/>
  <c r="T32" i="1" s="1"/>
  <c r="W11" i="1"/>
  <c r="G29" i="1" l="1"/>
  <c r="K29" i="1" s="1"/>
  <c r="P29" i="1"/>
  <c r="R29" i="1" s="1"/>
  <c r="T29" i="1" s="1"/>
  <c r="R38" i="1"/>
  <c r="T38" i="1" s="1"/>
  <c r="P31" i="1"/>
  <c r="R31" i="1" s="1"/>
  <c r="T31" i="1" s="1"/>
  <c r="G34" i="1"/>
  <c r="K34" i="1" s="1"/>
  <c r="W16" i="1"/>
  <c r="P39" i="1"/>
  <c r="G39" i="1"/>
  <c r="K39" i="1" s="1"/>
  <c r="P35" i="1"/>
  <c r="R35" i="1" s="1"/>
  <c r="T35" i="1" s="1"/>
  <c r="G35" i="1"/>
  <c r="K35" i="1" s="1"/>
  <c r="P33" i="1"/>
  <c r="G33" i="1"/>
  <c r="K33" i="1" s="1"/>
  <c r="G23" i="1"/>
  <c r="K23" i="1" s="1"/>
  <c r="P23" i="1"/>
  <c r="P37" i="1"/>
  <c r="G37" i="1"/>
  <c r="K37" i="1" s="1"/>
  <c r="G30" i="1"/>
  <c r="K30" i="1" s="1"/>
  <c r="P30" i="1"/>
  <c r="P28" i="1"/>
  <c r="G28" i="1"/>
  <c r="K28" i="1" s="1"/>
  <c r="P43" i="1"/>
  <c r="G43" i="1"/>
  <c r="K43" i="1" s="1"/>
  <c r="P26" i="1"/>
  <c r="G26" i="1"/>
  <c r="K26" i="1" s="1"/>
  <c r="G25" i="1"/>
  <c r="K25" i="1" s="1"/>
  <c r="P25" i="1"/>
  <c r="P21" i="1"/>
  <c r="R21" i="1" s="1"/>
  <c r="T21" i="1" s="1"/>
  <c r="P27" i="1"/>
  <c r="R27" i="1" s="1"/>
  <c r="T27" i="1" s="1"/>
  <c r="P42" i="1"/>
  <c r="R42" i="1" s="1"/>
  <c r="T42" i="1" s="1"/>
  <c r="P44" i="1"/>
  <c r="R44" i="1" s="1"/>
  <c r="T44" i="1" s="1"/>
  <c r="D15" i="1"/>
  <c r="C19" i="1" s="1"/>
  <c r="D16" i="1"/>
  <c r="D19" i="1" s="1"/>
  <c r="W20" i="1"/>
  <c r="W23" i="1"/>
  <c r="W18" i="1"/>
  <c r="F17" i="1"/>
  <c r="P24" i="1"/>
  <c r="R24" i="1" s="1"/>
  <c r="T24" i="1" s="1"/>
  <c r="W21" i="1"/>
  <c r="W17" i="1"/>
  <c r="W6" i="1"/>
  <c r="P36" i="1"/>
  <c r="R36" i="1" s="1"/>
  <c r="T36" i="1" s="1"/>
  <c r="W29" i="1"/>
  <c r="W15" i="1"/>
  <c r="P40" i="1"/>
  <c r="R40" i="1" s="1"/>
  <c r="T40" i="1" s="1"/>
  <c r="W3" i="1"/>
  <c r="W27" i="1"/>
  <c r="W30" i="1"/>
  <c r="W24" i="1"/>
  <c r="W22" i="1"/>
  <c r="W19" i="1"/>
  <c r="P41" i="1"/>
  <c r="R41" i="1" s="1"/>
  <c r="T41" i="1" s="1"/>
  <c r="W2" i="1"/>
  <c r="W8" i="1"/>
  <c r="C12" i="1"/>
  <c r="C11" i="1"/>
  <c r="R23" i="1" l="1"/>
  <c r="T23" i="1" s="1"/>
  <c r="R34" i="1"/>
  <c r="T34" i="1" s="1"/>
  <c r="R28" i="1"/>
  <c r="T28" i="1" s="1"/>
  <c r="R33" i="1"/>
  <c r="T33" i="1" s="1"/>
  <c r="R26" i="1"/>
  <c r="T26" i="1" s="1"/>
  <c r="R43" i="1"/>
  <c r="T43" i="1" s="1"/>
  <c r="R25" i="1"/>
  <c r="T25" i="1" s="1"/>
  <c r="R37" i="1"/>
  <c r="T37" i="1" s="1"/>
  <c r="R30" i="1"/>
  <c r="T30" i="1" s="1"/>
  <c r="R39" i="1"/>
  <c r="T39" i="1" s="1"/>
  <c r="O36" i="1"/>
  <c r="O21" i="1"/>
  <c r="O44" i="1"/>
  <c r="O22" i="1"/>
  <c r="O29" i="1"/>
  <c r="O26" i="1"/>
  <c r="O25" i="1"/>
  <c r="O38" i="1"/>
  <c r="O42" i="1"/>
  <c r="O39" i="1"/>
  <c r="O43" i="1"/>
  <c r="O28" i="1"/>
  <c r="O33" i="1"/>
  <c r="O32" i="1"/>
  <c r="O41" i="1"/>
  <c r="O35" i="1"/>
  <c r="O24" i="1"/>
  <c r="O31" i="1"/>
  <c r="C15" i="1"/>
  <c r="C18" i="1" s="1"/>
  <c r="O27" i="1"/>
  <c r="O30" i="1"/>
  <c r="O34" i="1"/>
  <c r="O40" i="1"/>
  <c r="O23" i="1"/>
  <c r="O37" i="1"/>
  <c r="C16" i="1"/>
  <c r="D18" i="1" s="1"/>
  <c r="E14" i="1" l="1"/>
  <c r="F18" i="1"/>
  <c r="F19" i="1" s="1"/>
</calcChain>
</file>

<file path=xl/sharedStrings.xml><?xml version="1.0" encoding="utf-8"?>
<sst xmlns="http://schemas.openxmlformats.org/spreadsheetml/2006/main" count="102" uniqueCount="65">
  <si>
    <t>JAVSO..44..164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</si>
  <si>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</si>
  <si>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</si>
  <si>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</si>
  <si>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</si>
  <si>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</si>
  <si>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</si>
  <si>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</si>
  <si>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</si>
  <si>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</si>
  <si>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</si>
  <si>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</si>
  <si>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</si>
  <si>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</si>
  <si>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</si>
  <si>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</si>
  <si>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</si>
  <si>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</si>
  <si>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</si>
  <si>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</si>
  <si>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</si>
  <si>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</si>
  <si>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</si>
  <si>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</si>
  <si>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</si>
  <si>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</si>
  <si>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</si>
  <si>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</si>
  <si>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</si>
  <si>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</si>
  <si>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</si>
  <si>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RRc???</t>
  </si>
  <si>
    <t>HV UMa / GSC 3452-0457</t>
  </si>
  <si>
    <t>OEJV 0094</t>
  </si>
  <si>
    <t>OEJV 0094 say it's eclipsing</t>
  </si>
  <si>
    <t>OEJV 0107</t>
  </si>
  <si>
    <t>I</t>
  </si>
  <si>
    <t>not avail.</t>
  </si>
  <si>
    <t>Add cycle</t>
  </si>
  <si>
    <t>Old Cycle</t>
  </si>
  <si>
    <t>IBVS 5980</t>
  </si>
  <si>
    <t>OEJV 0137</t>
  </si>
  <si>
    <t>II</t>
  </si>
  <si>
    <t>IBVS 5997</t>
  </si>
  <si>
    <t>IBVS 6007</t>
  </si>
  <si>
    <t>IBVS 6044</t>
  </si>
  <si>
    <t>2013-03-11 VSX says EW</t>
  </si>
  <si>
    <t>OEJV 0160</t>
  </si>
  <si>
    <t>IBVS 6114</t>
  </si>
  <si>
    <t>RHN 2018</t>
  </si>
  <si>
    <t>pg</t>
  </si>
  <si>
    <t>vis</t>
  </si>
  <si>
    <t>PE</t>
  </si>
  <si>
    <t>CCD</t>
  </si>
  <si>
    <t>s5</t>
  </si>
  <si>
    <t>s6</t>
  </si>
  <si>
    <t>s7</t>
  </si>
  <si>
    <t>as of 2018-03-08</t>
  </si>
  <si>
    <t>Csak et al. 2000A+A…356..603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</si>
  <si>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</si>
  <si>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</si>
  <si>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</si>
  <si>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</si>
  <si>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</si>
  <si>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RHN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</si>
</sst>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"/>
  </numFmts>
  <fonts count="3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3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7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6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quotePrefix="1" applyFont="1" applyAlignment="1"/>
    <xf numFmtId="0" fontId="15" fillId="0" borderId="0" xfId="0" applyFont="1" applyAlignment="1"/>
    <xf numFmtId="0" fontId="6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/>
    </xf>
    <xf numFmtId="0" fontId="11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11" fontId="0" fillId="0" borderId="0" xfId="0" applyNumberFormat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4" fillId="0" borderId="0" xfId="0" applyFont="1" applyAlignment="1"/>
    <xf numFmtId="14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15" fillId="0" borderId="0" xfId="41" applyFont="1"/>
    <xf numFmtId="0" fontId="15" fillId="0" borderId="0" xfId="41" applyFont="1" applyAlignment="1">
      <alignment horizontal="center"/>
    </xf>
    <xf numFmtId="0" fontId="15" fillId="0" borderId="0" xfId="41" applyFont="1" applyAlignment="1">
      <alignment horizontal="left"/>
    </xf>
    <xf numFmtId="0" fontId="33" fillId="0" borderId="0" xfId="41" applyFont="1" applyAlignment="1">
      <alignment horizontal="left" vertical="center"/>
    </xf>
    <xf numFmtId="0" fontId="33" fillId="0" borderId="0" xfId="41" applyFont="1" applyAlignment="1">
      <alignment horizontal="center" vertical="center"/>
    </xf>
    <xf numFmtId="0" fontId="0" fillId="0" borderId="18" xfId="0" applyBorder="1" applyAlignment="1">
      <alignment horizontal="left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HV UMa - O-C Diagr.</a:t>
            </a:r>
          </a:p>
        </c:rich>
      </c:tx>
      <c:layout>
        <c:manualLayout>
          <c:xMode val="edge"/>
          <c:yMode val="edge"/>
          <c:x val="0.3819548872180451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3953488372093023"/>
          <c:w val="0.82556390977443606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Active!$D$21:$D$232</c:f>
                <c:numCache>
                  <c:formatCode>General</c:formatCode>
                  <c:ptCount val="21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Active!$D$21:$D$232</c:f>
                <c:numCache>
                  <c:formatCode>General</c:formatCode>
                  <c:ptCount val="21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D-41EB-9956-1801B0257BA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D-41EB-9956-1801B0257BA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D-41EB-9956-1801B0257BA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0">
                  <c:v>2.5373450000188313E-2</c:v>
                </c:pt>
                <c:pt idx="1">
                  <c:v>3.1224500002281275E-2</c:v>
                </c:pt>
                <c:pt idx="2">
                  <c:v>3.0446499993558973E-2</c:v>
                </c:pt>
                <c:pt idx="3">
                  <c:v>3.3875900000566617E-2</c:v>
                </c:pt>
                <c:pt idx="4">
                  <c:v>3.6545399998431094E-2</c:v>
                </c:pt>
                <c:pt idx="5">
                  <c:v>3.7574799993308261E-2</c:v>
                </c:pt>
                <c:pt idx="6">
                  <c:v>3.7206349996267818E-2</c:v>
                </c:pt>
                <c:pt idx="7">
                  <c:v>3.7589599996863399E-2</c:v>
                </c:pt>
                <c:pt idx="8">
                  <c:v>3.8345850000041537E-2</c:v>
                </c:pt>
                <c:pt idx="9">
                  <c:v>4.1285849998530466E-2</c:v>
                </c:pt>
                <c:pt idx="10">
                  <c:v>3.7585199999739416E-2</c:v>
                </c:pt>
                <c:pt idx="11">
                  <c:v>3.8725200000044424E-2</c:v>
                </c:pt>
                <c:pt idx="12">
                  <c:v>4.185200000210898E-2</c:v>
                </c:pt>
                <c:pt idx="13">
                  <c:v>4.2551999998977408E-2</c:v>
                </c:pt>
                <c:pt idx="14">
                  <c:v>4.3914199995924719E-2</c:v>
                </c:pt>
                <c:pt idx="15">
                  <c:v>4.5714849991782103E-2</c:v>
                </c:pt>
                <c:pt idx="16">
                  <c:v>5.1150350001989864E-2</c:v>
                </c:pt>
                <c:pt idx="17">
                  <c:v>5.7591299999330658E-2</c:v>
                </c:pt>
                <c:pt idx="18">
                  <c:v>5.7591299999330658E-2</c:v>
                </c:pt>
                <c:pt idx="19">
                  <c:v>7.0571449999988545E-2</c:v>
                </c:pt>
                <c:pt idx="20">
                  <c:v>7.4635500001022592E-2</c:v>
                </c:pt>
                <c:pt idx="21">
                  <c:v>7.2378599994408432E-2</c:v>
                </c:pt>
                <c:pt idx="22">
                  <c:v>6.9269399995391723E-2</c:v>
                </c:pt>
                <c:pt idx="23">
                  <c:v>8.3441449998645112E-2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D-41EB-9956-1801B0257BA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D-41EB-9956-1801B0257BA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D-41EB-9956-1801B0257BA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D-41EB-9956-1801B0257BA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2.2264282556301314E-2</c:v>
                </c:pt>
                <c:pt idx="1">
                  <c:v>2.2616551251181796E-2</c:v>
                </c:pt>
                <c:pt idx="2">
                  <c:v>2.8021221638389174E-2</c:v>
                </c:pt>
                <c:pt idx="3">
                  <c:v>3.2094026823034742E-2</c:v>
                </c:pt>
                <c:pt idx="4">
                  <c:v>3.2431818722235203E-2</c:v>
                </c:pt>
                <c:pt idx="5">
                  <c:v>3.7469743618882084E-2</c:v>
                </c:pt>
                <c:pt idx="6">
                  <c:v>3.7484220414562099E-2</c:v>
                </c:pt>
                <c:pt idx="7">
                  <c:v>3.7701372349762396E-2</c:v>
                </c:pt>
                <c:pt idx="8">
                  <c:v>3.782201231376256E-2</c:v>
                </c:pt>
                <c:pt idx="9">
                  <c:v>3.782201231376256E-2</c:v>
                </c:pt>
                <c:pt idx="10">
                  <c:v>3.7971605869122765E-2</c:v>
                </c:pt>
                <c:pt idx="11">
                  <c:v>3.7971605869122765E-2</c:v>
                </c:pt>
                <c:pt idx="12">
                  <c:v>4.264278527520915E-2</c:v>
                </c:pt>
                <c:pt idx="13">
                  <c:v>4.264278527520915E-2</c:v>
                </c:pt>
                <c:pt idx="14">
                  <c:v>4.3472788227530285E-2</c:v>
                </c:pt>
                <c:pt idx="15">
                  <c:v>4.6218553808174023E-2</c:v>
                </c:pt>
                <c:pt idx="16">
                  <c:v>5.1188920324980819E-2</c:v>
                </c:pt>
                <c:pt idx="17">
                  <c:v>5.720644172930904E-2</c:v>
                </c:pt>
                <c:pt idx="18">
                  <c:v>5.720644172930904E-2</c:v>
                </c:pt>
                <c:pt idx="19">
                  <c:v>7.1871435753169066E-2</c:v>
                </c:pt>
                <c:pt idx="20">
                  <c:v>7.2127192476849414E-2</c:v>
                </c:pt>
                <c:pt idx="21">
                  <c:v>7.2156146068209456E-2</c:v>
                </c:pt>
                <c:pt idx="22">
                  <c:v>7.2194750856689513E-2</c:v>
                </c:pt>
                <c:pt idx="23">
                  <c:v>8.2487752585183566E-2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D-41EB-9956-1801B0257BAD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Active!$V$2:$V$30</c:f>
              <c:numCache>
                <c:formatCode>General</c:formatCode>
                <c:ptCount val="29"/>
                <c:pt idx="0">
                  <c:v>4000</c:v>
                </c:pt>
                <c:pt idx="1">
                  <c:v>4200</c:v>
                </c:pt>
                <c:pt idx="2">
                  <c:v>4400</c:v>
                </c:pt>
                <c:pt idx="3">
                  <c:v>4600</c:v>
                </c:pt>
                <c:pt idx="4">
                  <c:v>4800</c:v>
                </c:pt>
                <c:pt idx="5">
                  <c:v>5000</c:v>
                </c:pt>
                <c:pt idx="6">
                  <c:v>5200</c:v>
                </c:pt>
                <c:pt idx="7">
                  <c:v>5400</c:v>
                </c:pt>
                <c:pt idx="8">
                  <c:v>5600</c:v>
                </c:pt>
                <c:pt idx="9">
                  <c:v>5800</c:v>
                </c:pt>
                <c:pt idx="10">
                  <c:v>6000</c:v>
                </c:pt>
                <c:pt idx="11">
                  <c:v>6200</c:v>
                </c:pt>
                <c:pt idx="12">
                  <c:v>6400</c:v>
                </c:pt>
                <c:pt idx="13">
                  <c:v>6600</c:v>
                </c:pt>
                <c:pt idx="14">
                  <c:v>6800</c:v>
                </c:pt>
                <c:pt idx="15">
                  <c:v>7000</c:v>
                </c:pt>
                <c:pt idx="16">
                  <c:v>7200</c:v>
                </c:pt>
                <c:pt idx="17">
                  <c:v>7400</c:v>
                </c:pt>
                <c:pt idx="18">
                  <c:v>7600</c:v>
                </c:pt>
                <c:pt idx="19">
                  <c:v>7800</c:v>
                </c:pt>
                <c:pt idx="20">
                  <c:v>8000</c:v>
                </c:pt>
                <c:pt idx="21">
                  <c:v>8200</c:v>
                </c:pt>
                <c:pt idx="22">
                  <c:v>8400</c:v>
                </c:pt>
                <c:pt idx="23">
                  <c:v>8600</c:v>
                </c:pt>
                <c:pt idx="24">
                  <c:v>8800</c:v>
                </c:pt>
                <c:pt idx="25">
                  <c:v>9000</c:v>
                </c:pt>
                <c:pt idx="26">
                  <c:v>9200</c:v>
                </c:pt>
                <c:pt idx="27">
                  <c:v>9400</c:v>
                </c:pt>
                <c:pt idx="28">
                  <c:v>9600</c:v>
                </c:pt>
              </c:numCache>
            </c:numRef>
          </c:xVal>
          <c:yVal>
            <c:numRef>
              <c:f>Active!$W$2:$W$30</c:f>
              <c:numCache>
                <c:formatCode>General</c:formatCode>
                <c:ptCount val="29"/>
                <c:pt idx="0">
                  <c:v>2.5147176877235389E-2</c:v>
                </c:pt>
                <c:pt idx="1">
                  <c:v>2.6265875745149721E-2</c:v>
                </c:pt>
                <c:pt idx="2">
                  <c:v>2.7427215701752203E-2</c:v>
                </c:pt>
                <c:pt idx="3">
                  <c:v>2.8631196747042835E-2</c:v>
                </c:pt>
                <c:pt idx="4">
                  <c:v>2.9877818881021617E-2</c:v>
                </c:pt>
                <c:pt idx="5">
                  <c:v>3.1167082103688553E-2</c:v>
                </c:pt>
                <c:pt idx="6">
                  <c:v>3.2498986415043639E-2</c:v>
                </c:pt>
                <c:pt idx="7">
                  <c:v>3.3873531815086871E-2</c:v>
                </c:pt>
                <c:pt idx="8">
                  <c:v>3.5290718303818261E-2</c:v>
                </c:pt>
                <c:pt idx="9">
                  <c:v>3.6750545881237801E-2</c:v>
                </c:pt>
                <c:pt idx="10">
                  <c:v>3.825301454734549E-2</c:v>
                </c:pt>
                <c:pt idx="11">
                  <c:v>3.979812430214133E-2</c:v>
                </c:pt>
                <c:pt idx="12">
                  <c:v>4.138587514562532E-2</c:v>
                </c:pt>
                <c:pt idx="13">
                  <c:v>4.301626707779746E-2</c:v>
                </c:pt>
                <c:pt idx="14">
                  <c:v>4.468930009865775E-2</c:v>
                </c:pt>
                <c:pt idx="15">
                  <c:v>4.640497420820619E-2</c:v>
                </c:pt>
                <c:pt idx="16">
                  <c:v>4.8163289406442787E-2</c:v>
                </c:pt>
                <c:pt idx="17">
                  <c:v>4.9964245693367534E-2</c:v>
                </c:pt>
                <c:pt idx="18">
                  <c:v>5.1807843068980425E-2</c:v>
                </c:pt>
                <c:pt idx="19">
                  <c:v>5.3694081533281479E-2</c:v>
                </c:pt>
                <c:pt idx="20">
                  <c:v>5.562296108627067E-2</c:v>
                </c:pt>
                <c:pt idx="21">
                  <c:v>5.7594481727948024E-2</c:v>
                </c:pt>
                <c:pt idx="22">
                  <c:v>5.9608643458313515E-2</c:v>
                </c:pt>
                <c:pt idx="23">
                  <c:v>6.166544627736717E-2</c:v>
                </c:pt>
                <c:pt idx="24">
                  <c:v>6.3764890185108974E-2</c:v>
                </c:pt>
                <c:pt idx="25">
                  <c:v>6.5906975181538929E-2</c:v>
                </c:pt>
                <c:pt idx="26">
                  <c:v>6.809170126665702E-2</c:v>
                </c:pt>
                <c:pt idx="27">
                  <c:v>7.0319068440463275E-2</c:v>
                </c:pt>
                <c:pt idx="28">
                  <c:v>7.2589076702957681E-2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D-41EB-9956-1801B025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16712"/>
        <c:axId val="1"/>
      </c:scatterChart>
      <c:valAx>
        <c:axId val="713016712"/>
        <c:scaling>
          <c:orientation val="minMax"/>
          <c:min val="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16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441860465116277"/>
          <c:w val="0.70075187969924813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HV UMa - O-C Diagr.</a:t>
            </a:r>
          </a:p>
        </c:rich>
      </c:tx>
      <c:layout>
        <c:manualLayout>
          <c:xMode val="edge"/>
          <c:yMode val="edge"/>
          <c:x val="0.381382011933192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3683698860529"/>
          <c:y val="0.13872851947553438"/>
          <c:w val="0.81681801452528879"/>
          <c:h val="0.6502899350415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Active!$D$21:$D$232</c:f>
                <c:numCache>
                  <c:formatCode>General</c:formatCode>
                  <c:ptCount val="21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Active!$D$21:$D$232</c:f>
                <c:numCache>
                  <c:formatCode>General</c:formatCode>
                  <c:ptCount val="21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26-4D13-BD33-205CCC32C13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26-4D13-BD33-205CCC32C13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26-4D13-BD33-205CCC32C13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0">
                  <c:v>2.5373450000188313E-2</c:v>
                </c:pt>
                <c:pt idx="1">
                  <c:v>3.1224500002281275E-2</c:v>
                </c:pt>
                <c:pt idx="2">
                  <c:v>3.0446499993558973E-2</c:v>
                </c:pt>
                <c:pt idx="3">
                  <c:v>3.3875900000566617E-2</c:v>
                </c:pt>
                <c:pt idx="4">
                  <c:v>3.6545399998431094E-2</c:v>
                </c:pt>
                <c:pt idx="5">
                  <c:v>3.7574799993308261E-2</c:v>
                </c:pt>
                <c:pt idx="6">
                  <c:v>3.7206349996267818E-2</c:v>
                </c:pt>
                <c:pt idx="7">
                  <c:v>3.7589599996863399E-2</c:v>
                </c:pt>
                <c:pt idx="8">
                  <c:v>3.8345850000041537E-2</c:v>
                </c:pt>
                <c:pt idx="9">
                  <c:v>4.1285849998530466E-2</c:v>
                </c:pt>
                <c:pt idx="10">
                  <c:v>3.7585199999739416E-2</c:v>
                </c:pt>
                <c:pt idx="11">
                  <c:v>3.8725200000044424E-2</c:v>
                </c:pt>
                <c:pt idx="12">
                  <c:v>4.185200000210898E-2</c:v>
                </c:pt>
                <c:pt idx="13">
                  <c:v>4.2551999998977408E-2</c:v>
                </c:pt>
                <c:pt idx="14">
                  <c:v>4.3914199995924719E-2</c:v>
                </c:pt>
                <c:pt idx="15">
                  <c:v>4.5714849991782103E-2</c:v>
                </c:pt>
                <c:pt idx="16">
                  <c:v>5.1150350001989864E-2</c:v>
                </c:pt>
                <c:pt idx="17">
                  <c:v>5.7591299999330658E-2</c:v>
                </c:pt>
                <c:pt idx="18">
                  <c:v>5.7591299999330658E-2</c:v>
                </c:pt>
                <c:pt idx="19">
                  <c:v>7.0571449999988545E-2</c:v>
                </c:pt>
                <c:pt idx="20">
                  <c:v>7.4635500001022592E-2</c:v>
                </c:pt>
                <c:pt idx="21">
                  <c:v>7.2378599994408432E-2</c:v>
                </c:pt>
                <c:pt idx="22">
                  <c:v>6.9269399995391723E-2</c:v>
                </c:pt>
                <c:pt idx="23">
                  <c:v>8.3441449998645112E-2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26-4D13-BD33-205CCC32C13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26-4D13-BD33-205CCC32C13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26-4D13-BD33-205CCC32C13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5.0000000000000001E-4</c:v>
                  </c:pt>
                  <c:pt idx="1">
                    <c:v>6.9999999999999999E-4</c:v>
                  </c:pt>
                  <c:pt idx="2">
                    <c:v>5.9999999999999995E-4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2.0000000000000001E-4</c:v>
                  </c:pt>
                  <c:pt idx="7">
                    <c:v>5.5000000000000003E-4</c:v>
                  </c:pt>
                  <c:pt idx="8">
                    <c:v>1E-4</c:v>
                  </c:pt>
                  <c:pt idx="9">
                    <c:v>4.3E-3</c:v>
                  </c:pt>
                  <c:pt idx="10">
                    <c:v>2.0000000000000001E-4</c:v>
                  </c:pt>
                  <c:pt idx="11">
                    <c:v>1.2999999999999999E-3</c:v>
                  </c:pt>
                  <c:pt idx="12">
                    <c:v>2.9999999999999997E-4</c:v>
                  </c:pt>
                  <c:pt idx="13">
                    <c:v>5.9999999999999995E-4</c:v>
                  </c:pt>
                  <c:pt idx="14">
                    <c:v>6.9999999999999999E-4</c:v>
                  </c:pt>
                  <c:pt idx="15">
                    <c:v>2.2000000000000001E-4</c:v>
                  </c:pt>
                  <c:pt idx="16">
                    <c:v>2.5999999999999998E-4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1E-3</c:v>
                  </c:pt>
                  <c:pt idx="20">
                    <c:v>2E-3</c:v>
                  </c:pt>
                  <c:pt idx="21">
                    <c:v>2E-3</c:v>
                  </c:pt>
                  <c:pt idx="22">
                    <c:v>5.0000000000000001E-4</c:v>
                  </c:pt>
                  <c:pt idx="23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26-4D13-BD33-205CCC32C13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4448.5</c:v>
                </c:pt>
                <c:pt idx="1">
                  <c:v>4485</c:v>
                </c:pt>
                <c:pt idx="2">
                  <c:v>5045</c:v>
                </c:pt>
                <c:pt idx="3">
                  <c:v>5467</c:v>
                </c:pt>
                <c:pt idx="4">
                  <c:v>5502</c:v>
                </c:pt>
                <c:pt idx="5">
                  <c:v>6024</c:v>
                </c:pt>
                <c:pt idx="6">
                  <c:v>6025.5</c:v>
                </c:pt>
                <c:pt idx="7">
                  <c:v>6048</c:v>
                </c:pt>
                <c:pt idx="8">
                  <c:v>6060.5</c:v>
                </c:pt>
                <c:pt idx="9">
                  <c:v>6060.5</c:v>
                </c:pt>
                <c:pt idx="10">
                  <c:v>6076</c:v>
                </c:pt>
                <c:pt idx="11">
                  <c:v>6076</c:v>
                </c:pt>
                <c:pt idx="12">
                  <c:v>6560</c:v>
                </c:pt>
                <c:pt idx="13">
                  <c:v>6560</c:v>
                </c:pt>
                <c:pt idx="14">
                  <c:v>6646</c:v>
                </c:pt>
                <c:pt idx="15">
                  <c:v>6930.5</c:v>
                </c:pt>
                <c:pt idx="16">
                  <c:v>7445.5</c:v>
                </c:pt>
                <c:pt idx="17">
                  <c:v>8069</c:v>
                </c:pt>
                <c:pt idx="18">
                  <c:v>8069</c:v>
                </c:pt>
                <c:pt idx="19">
                  <c:v>9588.5</c:v>
                </c:pt>
                <c:pt idx="20">
                  <c:v>9615</c:v>
                </c:pt>
                <c:pt idx="21">
                  <c:v>9618</c:v>
                </c:pt>
                <c:pt idx="22">
                  <c:v>9622</c:v>
                </c:pt>
                <c:pt idx="23">
                  <c:v>10688.5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2.2264282556301314E-2</c:v>
                </c:pt>
                <c:pt idx="1">
                  <c:v>2.2616551251181796E-2</c:v>
                </c:pt>
                <c:pt idx="2">
                  <c:v>2.8021221638389174E-2</c:v>
                </c:pt>
                <c:pt idx="3">
                  <c:v>3.2094026823034742E-2</c:v>
                </c:pt>
                <c:pt idx="4">
                  <c:v>3.2431818722235203E-2</c:v>
                </c:pt>
                <c:pt idx="5">
                  <c:v>3.7469743618882084E-2</c:v>
                </c:pt>
                <c:pt idx="6">
                  <c:v>3.7484220414562099E-2</c:v>
                </c:pt>
                <c:pt idx="7">
                  <c:v>3.7701372349762396E-2</c:v>
                </c:pt>
                <c:pt idx="8">
                  <c:v>3.782201231376256E-2</c:v>
                </c:pt>
                <c:pt idx="9">
                  <c:v>3.782201231376256E-2</c:v>
                </c:pt>
                <c:pt idx="10">
                  <c:v>3.7971605869122765E-2</c:v>
                </c:pt>
                <c:pt idx="11">
                  <c:v>3.7971605869122765E-2</c:v>
                </c:pt>
                <c:pt idx="12">
                  <c:v>4.264278527520915E-2</c:v>
                </c:pt>
                <c:pt idx="13">
                  <c:v>4.264278527520915E-2</c:v>
                </c:pt>
                <c:pt idx="14">
                  <c:v>4.3472788227530285E-2</c:v>
                </c:pt>
                <c:pt idx="15">
                  <c:v>4.6218553808174023E-2</c:v>
                </c:pt>
                <c:pt idx="16">
                  <c:v>5.1188920324980819E-2</c:v>
                </c:pt>
                <c:pt idx="17">
                  <c:v>5.720644172930904E-2</c:v>
                </c:pt>
                <c:pt idx="18">
                  <c:v>5.720644172930904E-2</c:v>
                </c:pt>
                <c:pt idx="19">
                  <c:v>7.1871435753169066E-2</c:v>
                </c:pt>
                <c:pt idx="20">
                  <c:v>7.2127192476849414E-2</c:v>
                </c:pt>
                <c:pt idx="21">
                  <c:v>7.2156146068209456E-2</c:v>
                </c:pt>
                <c:pt idx="22">
                  <c:v>7.2194750856689513E-2</c:v>
                </c:pt>
                <c:pt idx="23">
                  <c:v>8.2487752585183566E-2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726-4D13-BD33-205CCC32C135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Active!$V$2:$V$35</c:f>
              <c:numCache>
                <c:formatCode>General</c:formatCode>
                <c:ptCount val="34"/>
                <c:pt idx="0">
                  <c:v>4000</c:v>
                </c:pt>
                <c:pt idx="1">
                  <c:v>4200</c:v>
                </c:pt>
                <c:pt idx="2">
                  <c:v>4400</c:v>
                </c:pt>
                <c:pt idx="3">
                  <c:v>4600</c:v>
                </c:pt>
                <c:pt idx="4">
                  <c:v>4800</c:v>
                </c:pt>
                <c:pt idx="5">
                  <c:v>5000</c:v>
                </c:pt>
                <c:pt idx="6">
                  <c:v>5200</c:v>
                </c:pt>
                <c:pt idx="7">
                  <c:v>5400</c:v>
                </c:pt>
                <c:pt idx="8">
                  <c:v>5600</c:v>
                </c:pt>
                <c:pt idx="9">
                  <c:v>5800</c:v>
                </c:pt>
                <c:pt idx="10">
                  <c:v>6000</c:v>
                </c:pt>
                <c:pt idx="11">
                  <c:v>6200</c:v>
                </c:pt>
                <c:pt idx="12">
                  <c:v>6400</c:v>
                </c:pt>
                <c:pt idx="13">
                  <c:v>6600</c:v>
                </c:pt>
                <c:pt idx="14">
                  <c:v>6800</c:v>
                </c:pt>
                <c:pt idx="15">
                  <c:v>7000</c:v>
                </c:pt>
                <c:pt idx="16">
                  <c:v>7200</c:v>
                </c:pt>
                <c:pt idx="17">
                  <c:v>7400</c:v>
                </c:pt>
                <c:pt idx="18">
                  <c:v>7600</c:v>
                </c:pt>
                <c:pt idx="19">
                  <c:v>7800</c:v>
                </c:pt>
                <c:pt idx="20">
                  <c:v>8000</c:v>
                </c:pt>
                <c:pt idx="21">
                  <c:v>8200</c:v>
                </c:pt>
                <c:pt idx="22">
                  <c:v>8400</c:v>
                </c:pt>
                <c:pt idx="23">
                  <c:v>8600</c:v>
                </c:pt>
                <c:pt idx="24">
                  <c:v>8800</c:v>
                </c:pt>
                <c:pt idx="25">
                  <c:v>9000</c:v>
                </c:pt>
                <c:pt idx="26">
                  <c:v>9200</c:v>
                </c:pt>
                <c:pt idx="27">
                  <c:v>9400</c:v>
                </c:pt>
                <c:pt idx="28">
                  <c:v>9600</c:v>
                </c:pt>
                <c:pt idx="29">
                  <c:v>9800</c:v>
                </c:pt>
              </c:numCache>
            </c:numRef>
          </c:xVal>
          <c:yVal>
            <c:numRef>
              <c:f>Active!$W$2:$W$35</c:f>
              <c:numCache>
                <c:formatCode>General</c:formatCode>
                <c:ptCount val="34"/>
                <c:pt idx="0">
                  <c:v>2.5147176877235389E-2</c:v>
                </c:pt>
                <c:pt idx="1">
                  <c:v>2.6265875745149721E-2</c:v>
                </c:pt>
                <c:pt idx="2">
                  <c:v>2.7427215701752203E-2</c:v>
                </c:pt>
                <c:pt idx="3">
                  <c:v>2.8631196747042835E-2</c:v>
                </c:pt>
                <c:pt idx="4">
                  <c:v>2.9877818881021617E-2</c:v>
                </c:pt>
                <c:pt idx="5">
                  <c:v>3.1167082103688553E-2</c:v>
                </c:pt>
                <c:pt idx="6">
                  <c:v>3.2498986415043639E-2</c:v>
                </c:pt>
                <c:pt idx="7">
                  <c:v>3.3873531815086871E-2</c:v>
                </c:pt>
                <c:pt idx="8">
                  <c:v>3.5290718303818261E-2</c:v>
                </c:pt>
                <c:pt idx="9">
                  <c:v>3.6750545881237801E-2</c:v>
                </c:pt>
                <c:pt idx="10">
                  <c:v>3.825301454734549E-2</c:v>
                </c:pt>
                <c:pt idx="11">
                  <c:v>3.979812430214133E-2</c:v>
                </c:pt>
                <c:pt idx="12">
                  <c:v>4.138587514562532E-2</c:v>
                </c:pt>
                <c:pt idx="13">
                  <c:v>4.301626707779746E-2</c:v>
                </c:pt>
                <c:pt idx="14">
                  <c:v>4.468930009865775E-2</c:v>
                </c:pt>
                <c:pt idx="15">
                  <c:v>4.640497420820619E-2</c:v>
                </c:pt>
                <c:pt idx="16">
                  <c:v>4.8163289406442787E-2</c:v>
                </c:pt>
                <c:pt idx="17">
                  <c:v>4.9964245693367534E-2</c:v>
                </c:pt>
                <c:pt idx="18">
                  <c:v>5.1807843068980425E-2</c:v>
                </c:pt>
                <c:pt idx="19">
                  <c:v>5.3694081533281479E-2</c:v>
                </c:pt>
                <c:pt idx="20">
                  <c:v>5.562296108627067E-2</c:v>
                </c:pt>
                <c:pt idx="21">
                  <c:v>5.7594481727948024E-2</c:v>
                </c:pt>
                <c:pt idx="22">
                  <c:v>5.9608643458313515E-2</c:v>
                </c:pt>
                <c:pt idx="23">
                  <c:v>6.166544627736717E-2</c:v>
                </c:pt>
                <c:pt idx="24">
                  <c:v>6.3764890185108974E-2</c:v>
                </c:pt>
                <c:pt idx="25">
                  <c:v>6.5906975181538929E-2</c:v>
                </c:pt>
                <c:pt idx="26">
                  <c:v>6.809170126665702E-2</c:v>
                </c:pt>
                <c:pt idx="27">
                  <c:v>7.0319068440463275E-2</c:v>
                </c:pt>
                <c:pt idx="28">
                  <c:v>7.2589076702957681E-2</c:v>
                </c:pt>
                <c:pt idx="29">
                  <c:v>7.4901726054140236E-2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726-4D13-BD33-205CCC32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008512"/>
        <c:axId val="1"/>
      </c:scatterChart>
      <c:valAx>
        <c:axId val="713008512"/>
        <c:scaling>
          <c:orientation val="minMax"/>
          <c:max val="10000"/>
          <c:min val="9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52631371529013"/>
              <c:y val="0.84393184955926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572315021315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30085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71803299362352"/>
          <c:y val="0.92485670505059692"/>
          <c:w val="0.6997008031653702"/>
          <c:h val="5.78034682080924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58FC38B3-752B-CD70-588A-9BA07F9B9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0</xdr:row>
      <xdr:rowOff>0</xdr:rowOff>
    </xdr:from>
    <xdr:to>
      <xdr:col>26</xdr:col>
      <xdr:colOff>485775</xdr:colOff>
      <xdr:row>19</xdr:row>
      <xdr:rowOff>19050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E200E90F-A50E-6817-F090-5FAACC884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vsolj.cetus-net.org/bulletin.html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s://www.aavso.org/ejaavso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6933"/>
  <sheetViews>
    <sheetView tabSelected="1" workbookViewId="0">
      <pane xSplit="14" ySplit="21" topLeftCell="O34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5" customWidth="1"/>
    <col min="3" max="3" width="11.85546875" customWidth="1"/>
    <col min="4" max="4" width="9.42578125" customWidth="1"/>
    <col min="5" max="5" width="10.5703125" customWidth="1"/>
    <col min="6" max="6" width="15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32</v>
      </c>
      <c r="V1" s="4" t="s">
        <v>10</v>
      </c>
      <c r="W1" s="6" t="s">
        <v>21</v>
      </c>
    </row>
    <row r="2" spans="1:23" x14ac:dyDescent="0.2">
      <c r="A2" t="s">
        <v>23</v>
      </c>
      <c r="B2" t="s">
        <v>31</v>
      </c>
      <c r="C2" s="3"/>
      <c r="D2" s="25" t="s">
        <v>34</v>
      </c>
      <c r="V2" s="55">
        <v>4000</v>
      </c>
      <c r="W2" s="55">
        <f t="shared" ref="W2:W17" si="0">+D$11+D$12*V2+D$13*V2^2</f>
        <v>2.5147176877235389E-2</v>
      </c>
    </row>
    <row r="3" spans="1:23" ht="13.5" thickBot="1" x14ac:dyDescent="0.25">
      <c r="D3" s="32" t="s">
        <v>46</v>
      </c>
      <c r="V3" s="55">
        <v>4200</v>
      </c>
      <c r="W3" s="55">
        <f t="shared" si="0"/>
        <v>2.6265875745149721E-2</v>
      </c>
    </row>
    <row r="4" spans="1:23" ht="14.25" thickTop="1" thickBot="1" x14ac:dyDescent="0.25">
      <c r="A4" s="5" t="s">
        <v>1</v>
      </c>
      <c r="C4" s="8" t="s">
        <v>37</v>
      </c>
      <c r="D4" s="9" t="s">
        <v>37</v>
      </c>
      <c r="E4" s="42" t="s">
        <v>57</v>
      </c>
      <c r="V4" s="55">
        <v>4400</v>
      </c>
      <c r="W4" s="55">
        <f t="shared" si="0"/>
        <v>2.7427215701752203E-2</v>
      </c>
    </row>
    <row r="5" spans="1:23" ht="13.5" thickTop="1" x14ac:dyDescent="0.2">
      <c r="A5" s="11" t="s">
        <v>25</v>
      </c>
      <c r="B5" s="13">
        <v>-9.5</v>
      </c>
      <c r="C5" s="12" t="s">
        <v>26</v>
      </c>
      <c r="D5" s="12"/>
      <c r="V5" s="55">
        <v>4600</v>
      </c>
      <c r="W5" s="55">
        <f t="shared" si="0"/>
        <v>2.8631196747042835E-2</v>
      </c>
    </row>
    <row r="6" spans="1:23" x14ac:dyDescent="0.2">
      <c r="A6" s="5" t="s">
        <v>2</v>
      </c>
      <c r="V6" s="55">
        <v>4800</v>
      </c>
      <c r="W6" s="55">
        <f t="shared" si="0"/>
        <v>2.9877818881021617E-2</v>
      </c>
    </row>
    <row r="7" spans="1:23" x14ac:dyDescent="0.2">
      <c r="A7" t="s">
        <v>3</v>
      </c>
      <c r="C7">
        <v>51346.743000000002</v>
      </c>
      <c r="D7" s="42" t="s">
        <v>58</v>
      </c>
      <c r="V7" s="55">
        <v>5000</v>
      </c>
      <c r="W7" s="55">
        <f t="shared" si="0"/>
        <v>3.1167082103688553E-2</v>
      </c>
    </row>
    <row r="8" spans="1:23" x14ac:dyDescent="0.2">
      <c r="A8" t="s">
        <v>4</v>
      </c>
      <c r="C8">
        <v>0.7107523</v>
      </c>
      <c r="D8" s="42" t="s">
        <v>58</v>
      </c>
      <c r="V8" s="55">
        <v>5200</v>
      </c>
      <c r="W8" s="55">
        <f t="shared" si="0"/>
        <v>3.2498986415043639E-2</v>
      </c>
    </row>
    <row r="9" spans="1:23" x14ac:dyDescent="0.2">
      <c r="A9" s="24" t="s">
        <v>30</v>
      </c>
      <c r="B9" s="25">
        <v>32</v>
      </c>
      <c r="C9" s="22" t="str">
        <f>"F"&amp;B9</f>
        <v>F32</v>
      </c>
      <c r="D9" s="23" t="str">
        <f>"G"&amp;B9</f>
        <v>G32</v>
      </c>
      <c r="V9" s="55">
        <v>5400</v>
      </c>
      <c r="W9" s="55">
        <f t="shared" si="0"/>
        <v>3.3873531815086871E-2</v>
      </c>
    </row>
    <row r="10" spans="1:23" ht="13.5" thickBot="1" x14ac:dyDescent="0.25">
      <c r="A10" s="12"/>
      <c r="B10" s="12"/>
      <c r="C10" s="4" t="s">
        <v>19</v>
      </c>
      <c r="D10" s="4" t="s">
        <v>20</v>
      </c>
      <c r="E10" s="12"/>
      <c r="V10" s="55">
        <v>5600</v>
      </c>
      <c r="W10" s="55">
        <f t="shared" si="0"/>
        <v>3.5290718303818261E-2</v>
      </c>
    </row>
    <row r="11" spans="1:23" x14ac:dyDescent="0.2">
      <c r="A11" s="12" t="s">
        <v>15</v>
      </c>
      <c r="B11" s="12"/>
      <c r="C11" s="21">
        <f ca="1">INTERCEPT(INDIRECT($D$9):G987,INDIRECT($C$9):F987)</f>
        <v>-2.0669067832077323E-2</v>
      </c>
      <c r="D11" s="3">
        <f>+E11*F11</f>
        <v>1.1727828143460448E-2</v>
      </c>
      <c r="E11" s="43">
        <v>1.1727828143460448E-2</v>
      </c>
      <c r="F11">
        <v>1</v>
      </c>
      <c r="V11" s="55">
        <v>5800</v>
      </c>
      <c r="W11" s="55">
        <f t="shared" si="0"/>
        <v>3.6750545881237801E-2</v>
      </c>
    </row>
    <row r="12" spans="1:23" x14ac:dyDescent="0.2">
      <c r="A12" s="12" t="s">
        <v>16</v>
      </c>
      <c r="B12" s="12"/>
      <c r="C12" s="21">
        <f ca="1">SLOPE(INDIRECT($D$9):G987,INDIRECT($C$9):F987)</f>
        <v>9.6511971200131813E-6</v>
      </c>
      <c r="D12" s="3">
        <f>+E12*F12</f>
        <v>1.2227827490361928E-6</v>
      </c>
      <c r="E12" s="44">
        <v>1.2227827490361928E-2</v>
      </c>
      <c r="F12" s="45">
        <v>1E-4</v>
      </c>
      <c r="V12" s="55">
        <v>6000</v>
      </c>
      <c r="W12" s="55">
        <f t="shared" si="0"/>
        <v>3.825301454734549E-2</v>
      </c>
    </row>
    <row r="13" spans="1:23" ht="13.5" thickBot="1" x14ac:dyDescent="0.25">
      <c r="A13" s="12" t="s">
        <v>18</v>
      </c>
      <c r="B13" s="12"/>
      <c r="C13" s="3" t="s">
        <v>13</v>
      </c>
      <c r="D13" s="3">
        <f>+E13*F13</f>
        <v>5.3301360860188563E-10</v>
      </c>
      <c r="E13" s="46">
        <v>5.3301360860188565E-2</v>
      </c>
      <c r="F13" s="45">
        <v>1E-8</v>
      </c>
      <c r="V13" s="55">
        <v>6200</v>
      </c>
      <c r="W13" s="55">
        <f t="shared" si="0"/>
        <v>3.979812430214133E-2</v>
      </c>
    </row>
    <row r="14" spans="1:23" x14ac:dyDescent="0.2">
      <c r="A14" s="12"/>
      <c r="B14" s="12"/>
      <c r="C14" s="12"/>
      <c r="E14">
        <f>SUM(T21:T945)</f>
        <v>5.6435777928681451E-5</v>
      </c>
      <c r="V14" s="55">
        <v>6400</v>
      </c>
      <c r="W14" s="55">
        <f t="shared" si="0"/>
        <v>4.138587514562532E-2</v>
      </c>
    </row>
    <row r="15" spans="1:23" x14ac:dyDescent="0.2">
      <c r="A15" s="14" t="s">
        <v>17</v>
      </c>
      <c r="B15" s="12"/>
      <c r="C15" s="15">
        <f ca="1">(C7+C11)+(C8+C12)*INT(MAX(F21:F3528))</f>
        <v>58943.346065326987</v>
      </c>
      <c r="D15" s="23">
        <f>+C7+INT(MAX(F21:F1583))*C8+D11+D12*INT(MAX(F21:F4018))+D13*INT(MAX(F21:F4045)^2)</f>
        <v>58943.349272953928</v>
      </c>
      <c r="E15" s="16" t="s">
        <v>38</v>
      </c>
      <c r="F15" s="13">
        <v>1</v>
      </c>
      <c r="V15" s="55">
        <v>6600</v>
      </c>
      <c r="W15" s="55">
        <f t="shared" si="0"/>
        <v>4.301626707779746E-2</v>
      </c>
    </row>
    <row r="16" spans="1:23" x14ac:dyDescent="0.2">
      <c r="A16" s="18" t="s">
        <v>5</v>
      </c>
      <c r="B16" s="12"/>
      <c r="C16" s="19">
        <f ca="1">+C8+C12</f>
        <v>0.71076195119712005</v>
      </c>
      <c r="D16" s="23">
        <f>+C8+D12+2*D13*MAX(F21:F891)</f>
        <v>0.71076491701466016</v>
      </c>
      <c r="E16" s="16" t="s">
        <v>27</v>
      </c>
      <c r="F16" s="17">
        <f ca="1">NOW()+15018.5+$B$5/24</f>
        <v>59969.752639699072</v>
      </c>
      <c r="V16" s="55">
        <v>6800</v>
      </c>
      <c r="W16" s="55">
        <f t="shared" si="0"/>
        <v>4.468930009865775E-2</v>
      </c>
    </row>
    <row r="17" spans="1:23" ht="13.5" thickBot="1" x14ac:dyDescent="0.25">
      <c r="A17" s="16" t="s">
        <v>24</v>
      </c>
      <c r="B17" s="12"/>
      <c r="C17" s="12">
        <f>COUNT(C21:C2186)</f>
        <v>24</v>
      </c>
      <c r="E17" s="16" t="s">
        <v>39</v>
      </c>
      <c r="F17" s="17">
        <f ca="1">ROUND(2*(F16-$C$7)/$C$8,0)/2+F15</f>
        <v>12133</v>
      </c>
      <c r="V17" s="55">
        <v>7000</v>
      </c>
      <c r="W17" s="55">
        <f t="shared" si="0"/>
        <v>4.640497420820619E-2</v>
      </c>
    </row>
    <row r="18" spans="1:23" ht="14.25" thickTop="1" thickBot="1" x14ac:dyDescent="0.25">
      <c r="A18" s="5" t="s">
        <v>59</v>
      </c>
      <c r="C18" s="47">
        <f ca="1">+C15</f>
        <v>58943.346065326987</v>
      </c>
      <c r="D18" s="48">
        <f ca="1">C16</f>
        <v>0.71076195119712005</v>
      </c>
      <c r="E18" s="16" t="s">
        <v>28</v>
      </c>
      <c r="F18" s="23">
        <f ca="1">ROUND(2*(F16-$C$15)/$C$16,0)/2+F15</f>
        <v>1445</v>
      </c>
      <c r="V18" s="55">
        <v>7200</v>
      </c>
      <c r="W18" s="55">
        <f t="shared" ref="W18:W23" si="1">+D$11+D$12*V18+D$13*V18^2</f>
        <v>4.8163289406442787E-2</v>
      </c>
    </row>
    <row r="19" spans="1:23" ht="13.5" thickBot="1" x14ac:dyDescent="0.25">
      <c r="A19" s="5" t="s">
        <v>60</v>
      </c>
      <c r="C19" s="49">
        <f>+D15</f>
        <v>58943.349272953928</v>
      </c>
      <c r="D19" s="50">
        <f>+D16</f>
        <v>0.71076491701466016</v>
      </c>
      <c r="E19" s="16" t="s">
        <v>29</v>
      </c>
      <c r="F19" s="20">
        <f ca="1">+$C$15+$C$16*F18-15018.5-$B$5/24</f>
        <v>44952.292918140163</v>
      </c>
      <c r="V19" s="55">
        <v>7400</v>
      </c>
      <c r="W19" s="55">
        <f t="shared" si="1"/>
        <v>4.9964245693367534E-2</v>
      </c>
    </row>
    <row r="20" spans="1:23" ht="1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50</v>
      </c>
      <c r="I20" s="7" t="s">
        <v>51</v>
      </c>
      <c r="J20" s="7" t="s">
        <v>52</v>
      </c>
      <c r="K20" s="7" t="s">
        <v>53</v>
      </c>
      <c r="L20" s="7" t="s">
        <v>54</v>
      </c>
      <c r="M20" s="7" t="s">
        <v>55</v>
      </c>
      <c r="N20" s="7" t="s">
        <v>56</v>
      </c>
      <c r="O20" s="7" t="s">
        <v>22</v>
      </c>
      <c r="P20" s="51" t="s">
        <v>21</v>
      </c>
      <c r="Q20" s="4" t="s">
        <v>14</v>
      </c>
      <c r="R20" s="52" t="s">
        <v>61</v>
      </c>
      <c r="S20" s="6" t="s">
        <v>62</v>
      </c>
      <c r="T20" s="52" t="s">
        <v>63</v>
      </c>
      <c r="V20" s="55">
        <v>7600</v>
      </c>
      <c r="W20" s="55">
        <f t="shared" si="1"/>
        <v>5.1807843068980425E-2</v>
      </c>
    </row>
    <row r="21" spans="1:23" x14ac:dyDescent="0.2">
      <c r="A21" t="s">
        <v>33</v>
      </c>
      <c r="C21" s="10">
        <v>54508.549980000003</v>
      </c>
      <c r="D21" s="10">
        <v>5.0000000000000001E-4</v>
      </c>
      <c r="E21">
        <f>+(C21-C$7)/C$8</f>
        <v>4448.5356994272142</v>
      </c>
      <c r="F21">
        <f>ROUND(2*E21,0)/2</f>
        <v>4448.5</v>
      </c>
      <c r="G21">
        <f>+C21-(C$7+F21*C$8)</f>
        <v>2.5373450000188313E-2</v>
      </c>
      <c r="K21">
        <f>+G21</f>
        <v>2.5373450000188313E-2</v>
      </c>
      <c r="O21">
        <f ca="1">+C$11+C$12*$F21</f>
        <v>2.2264282556301314E-2</v>
      </c>
      <c r="P21" s="53">
        <f>+D$11+D$12*F21+D$13*F21^2</f>
        <v>2.7715264654492575E-2</v>
      </c>
      <c r="Q21" s="54">
        <f>+C21-15018.5</f>
        <v>39490.049980000003</v>
      </c>
      <c r="R21" s="55">
        <f>+(P21-G21)^2</f>
        <v>5.4840958751141861E-6</v>
      </c>
      <c r="S21" s="56">
        <v>1</v>
      </c>
      <c r="T21" s="55">
        <f>+S21*R21</f>
        <v>5.4840958751141861E-6</v>
      </c>
      <c r="V21" s="55">
        <v>7800</v>
      </c>
      <c r="W21" s="55">
        <f t="shared" si="1"/>
        <v>5.3694081533281479E-2</v>
      </c>
    </row>
    <row r="22" spans="1:23" x14ac:dyDescent="0.2">
      <c r="A22" s="26" t="s">
        <v>35</v>
      </c>
      <c r="B22" s="27" t="s">
        <v>36</v>
      </c>
      <c r="C22" s="28">
        <v>54534.498290000003</v>
      </c>
      <c r="D22" s="28">
        <v>6.9999999999999999E-4</v>
      </c>
      <c r="E22">
        <f>+(C22-C$7)/C$8</f>
        <v>4485.0439316200609</v>
      </c>
      <c r="F22">
        <f>ROUND(2*E22,0)/2</f>
        <v>4485</v>
      </c>
      <c r="G22">
        <f>+C22-(C$7+F22*C$8)</f>
        <v>3.1224500002281275E-2</v>
      </c>
      <c r="K22">
        <f>+G22</f>
        <v>3.1224500002281275E-2</v>
      </c>
      <c r="O22">
        <f ca="1">+C$11+C$12*$F22</f>
        <v>2.2616551251181796E-2</v>
      </c>
      <c r="P22" s="53">
        <f>+D$11+D$12*F22+D$13*F22^2</f>
        <v>2.7933697437976635E-2</v>
      </c>
      <c r="Q22" s="2">
        <f>+C22-15018.5</f>
        <v>39515.998290000003</v>
      </c>
      <c r="R22" s="55">
        <f>+(P22-G22)^2</f>
        <v>1.0829381517233994E-5</v>
      </c>
      <c r="S22" s="56">
        <v>1</v>
      </c>
      <c r="T22" s="55">
        <f>+S22*R22</f>
        <v>1.0829381517233994E-5</v>
      </c>
      <c r="V22" s="55">
        <v>8000</v>
      </c>
      <c r="W22" s="55">
        <f t="shared" si="1"/>
        <v>5.562296108627067E-2</v>
      </c>
    </row>
    <row r="23" spans="1:23" x14ac:dyDescent="0.2">
      <c r="A23" s="26" t="s">
        <v>35</v>
      </c>
      <c r="B23" s="27" t="s">
        <v>36</v>
      </c>
      <c r="C23" s="28">
        <v>54932.518799999998</v>
      </c>
      <c r="D23" s="28">
        <v>5.9999999999999995E-4</v>
      </c>
      <c r="E23">
        <f>+(C23-C$7)/C$8</f>
        <v>5045.042837005235</v>
      </c>
      <c r="F23">
        <f>ROUND(2*E23,0)/2</f>
        <v>5045</v>
      </c>
      <c r="G23">
        <f>+C23-(C$7+F23*C$8)</f>
        <v>3.0446499993558973E-2</v>
      </c>
      <c r="K23">
        <f>+G23</f>
        <v>3.0446499993558973E-2</v>
      </c>
      <c r="O23">
        <f ca="1">+C$11+C$12*$F23</f>
        <v>2.8021221638389174E-2</v>
      </c>
      <c r="P23" s="53">
        <f>+D$11+D$12*F23+D$13*F23^2</f>
        <v>3.1463042803823449E-2</v>
      </c>
      <c r="Q23" s="2">
        <f>+C23-15018.5</f>
        <v>39914.018799999998</v>
      </c>
      <c r="R23" s="55">
        <f>+(P23-G23)^2</f>
        <v>1.0333592851003981E-6</v>
      </c>
      <c r="S23" s="56">
        <v>1</v>
      </c>
      <c r="T23" s="55">
        <f>+S23*R23</f>
        <v>1.0333592851003981E-6</v>
      </c>
      <c r="V23" s="55">
        <v>8200</v>
      </c>
      <c r="W23" s="55">
        <f t="shared" si="1"/>
        <v>5.7594481727948024E-2</v>
      </c>
    </row>
    <row r="24" spans="1:23" x14ac:dyDescent="0.2">
      <c r="A24" s="29" t="s">
        <v>40</v>
      </c>
      <c r="B24" s="30" t="s">
        <v>36</v>
      </c>
      <c r="C24" s="31">
        <v>55232.459699999999</v>
      </c>
      <c r="D24" s="31">
        <v>2.9999999999999997E-4</v>
      </c>
      <c r="E24">
        <f>+(C24-C$7)/C$8</f>
        <v>5467.0476620335903</v>
      </c>
      <c r="F24">
        <f>ROUND(2*E24,0)/2</f>
        <v>5467</v>
      </c>
      <c r="G24">
        <f>+C24-(C$7+F24*C$8)</f>
        <v>3.3875900000566617E-2</v>
      </c>
      <c r="K24">
        <f>+G24</f>
        <v>3.3875900000566617E-2</v>
      </c>
      <c r="O24">
        <f ca="1">+C$11+C$12*$F24</f>
        <v>3.2094026823034742E-2</v>
      </c>
      <c r="P24" s="53">
        <f>+D$11+D$12*F24+D$13*F24^2</f>
        <v>3.4343539604545642E-2</v>
      </c>
      <c r="Q24" s="2">
        <f>+C24-15018.5</f>
        <v>40213.959699999999</v>
      </c>
      <c r="R24" s="55">
        <f>+(P24-G24)^2</f>
        <v>2.1868679920965968E-7</v>
      </c>
      <c r="S24" s="56">
        <v>1</v>
      </c>
      <c r="T24" s="55">
        <f>+S24*R24</f>
        <v>2.1868679920965968E-7</v>
      </c>
      <c r="V24" s="55">
        <v>8400</v>
      </c>
      <c r="W24" s="55">
        <f t="shared" ref="W24:W31" si="2">+D$11+D$12*V24+D$13*V24^2</f>
        <v>5.9608643458313515E-2</v>
      </c>
    </row>
    <row r="25" spans="1:23" x14ac:dyDescent="0.2">
      <c r="A25" s="29" t="s">
        <v>40</v>
      </c>
      <c r="B25" s="30" t="s">
        <v>36</v>
      </c>
      <c r="C25" s="31">
        <v>55257.3387</v>
      </c>
      <c r="D25" s="31">
        <v>2.9999999999999997E-4</v>
      </c>
      <c r="E25">
        <f>+(C25-C$7)/C$8</f>
        <v>5502.0514179131014</v>
      </c>
      <c r="F25">
        <f>ROUND(2*E25,0)/2</f>
        <v>5502</v>
      </c>
      <c r="G25">
        <f>+C25-(C$7+F25*C$8)</f>
        <v>3.6545399998431094E-2</v>
      </c>
      <c r="K25">
        <f>+G25</f>
        <v>3.6545399998431094E-2</v>
      </c>
      <c r="O25">
        <f ca="1">+C$11+C$12*$F25</f>
        <v>3.2431818722235203E-2</v>
      </c>
      <c r="P25" s="53">
        <f>+D$11+D$12*F25+D$13*F25^2</f>
        <v>3.4590968920308302E-2</v>
      </c>
      <c r="Q25" s="2">
        <f>+C25-15018.5</f>
        <v>40238.8387</v>
      </c>
      <c r="R25" s="55">
        <f>+(P25-G25)^2</f>
        <v>3.8198008391322206E-6</v>
      </c>
      <c r="S25" s="56">
        <v>1</v>
      </c>
      <c r="T25" s="55">
        <f>+S25*R25</f>
        <v>3.8198008391322206E-6</v>
      </c>
      <c r="V25" s="55">
        <v>8600</v>
      </c>
      <c r="W25" s="55">
        <f t="shared" si="2"/>
        <v>6.166544627736717E-2</v>
      </c>
    </row>
    <row r="26" spans="1:23" x14ac:dyDescent="0.2">
      <c r="A26" s="26" t="s">
        <v>41</v>
      </c>
      <c r="B26" s="27" t="s">
        <v>36</v>
      </c>
      <c r="C26" s="28">
        <v>55628.352429999999</v>
      </c>
      <c r="D26" s="28">
        <v>2.0000000000000001E-4</v>
      </c>
      <c r="E26">
        <f>+(C26-C$7)/C$8</f>
        <v>6024.0528662376428</v>
      </c>
      <c r="F26">
        <f>ROUND(2*E26,0)/2</f>
        <v>6024</v>
      </c>
      <c r="G26">
        <f>+C26-(C$7+F26*C$8)</f>
        <v>3.7574799993308261E-2</v>
      </c>
      <c r="K26">
        <f>+G26</f>
        <v>3.7574799993308261E-2</v>
      </c>
      <c r="O26">
        <f ca="1">+C$11+C$12*$F26</f>
        <v>3.7469743618882084E-2</v>
      </c>
      <c r="P26" s="53">
        <f>+D$11+D$12*F26+D$13*F26^2</f>
        <v>3.843617626843826E-2</v>
      </c>
      <c r="Q26" s="2">
        <f>+C26-15018.5</f>
        <v>40609.852429999999</v>
      </c>
      <c r="R26" s="55">
        <f>+(P26-G26)^2</f>
        <v>7.4196908735683194E-7</v>
      </c>
      <c r="S26" s="56">
        <v>1</v>
      </c>
      <c r="T26" s="55">
        <f>+S26*R26</f>
        <v>7.4196908735683194E-7</v>
      </c>
      <c r="V26" s="55">
        <v>8800</v>
      </c>
      <c r="W26" s="55">
        <f t="shared" si="2"/>
        <v>6.3764890185108974E-2</v>
      </c>
    </row>
    <row r="27" spans="1:23" x14ac:dyDescent="0.2">
      <c r="A27" s="34" t="s">
        <v>41</v>
      </c>
      <c r="B27" s="35" t="s">
        <v>42</v>
      </c>
      <c r="C27" s="36">
        <v>55629.418189999997</v>
      </c>
      <c r="D27" s="36">
        <v>2.0000000000000001E-4</v>
      </c>
      <c r="E27" s="33">
        <f>+(C27-C$7)/C$8</f>
        <v>6025.552347843256</v>
      </c>
      <c r="F27">
        <f>ROUND(2*E27,0)/2</f>
        <v>6025.5</v>
      </c>
      <c r="G27">
        <f>+C27-(C$7+F27*C$8)</f>
        <v>3.7206349996267818E-2</v>
      </c>
      <c r="K27">
        <f>+G27</f>
        <v>3.7206349996267818E-2</v>
      </c>
      <c r="O27">
        <f ca="1">+C$11+C$12*$F27</f>
        <v>3.7484220414562099E-2</v>
      </c>
      <c r="P27" s="53">
        <f>+D$11+D$12*F27+D$13*F27^2</f>
        <v>3.844764426377708E-2</v>
      </c>
      <c r="Q27" s="2">
        <f>+C27-15018.5</f>
        <v>40610.918189999997</v>
      </c>
      <c r="R27" s="55">
        <f>+(P27-G27)^2</f>
        <v>1.5408114585513545E-6</v>
      </c>
      <c r="S27" s="56">
        <v>1</v>
      </c>
      <c r="T27" s="55">
        <f>+S27*R27</f>
        <v>1.5408114585513545E-6</v>
      </c>
      <c r="V27" s="55">
        <v>9000</v>
      </c>
      <c r="W27" s="55">
        <f t="shared" si="2"/>
        <v>6.5906975181538929E-2</v>
      </c>
    </row>
    <row r="28" spans="1:23" x14ac:dyDescent="0.2">
      <c r="A28" s="37" t="s">
        <v>44</v>
      </c>
      <c r="B28" s="38" t="s">
        <v>36</v>
      </c>
      <c r="C28" s="37">
        <v>55645.410499999998</v>
      </c>
      <c r="D28" s="37">
        <v>5.5000000000000003E-4</v>
      </c>
      <c r="E28" s="33">
        <f>+(C28-C$7)/C$8</f>
        <v>6048.0528870606486</v>
      </c>
      <c r="F28">
        <f>ROUND(2*E28,0)/2</f>
        <v>6048</v>
      </c>
      <c r="G28">
        <f>+C28-(C$7+F28*C$8)</f>
        <v>3.7589599996863399E-2</v>
      </c>
      <c r="K28">
        <f>+G28</f>
        <v>3.7589599996863399E-2</v>
      </c>
      <c r="O28">
        <f ca="1">+C$11+C$12*$F28</f>
        <v>3.7701372349762396E-2</v>
      </c>
      <c r="P28" s="53">
        <f>+D$11+D$12*F28+D$13*F28^2</f>
        <v>3.8619952021208132E-2</v>
      </c>
      <c r="Q28" s="2">
        <f>+C28-15018.5</f>
        <v>40626.910499999998</v>
      </c>
      <c r="R28" s="55">
        <f>+(P28-G28)^2</f>
        <v>1.0616252940712888E-6</v>
      </c>
      <c r="S28" s="56">
        <v>1</v>
      </c>
      <c r="T28" s="55">
        <f>+S28*R28</f>
        <v>1.0616252940712888E-6</v>
      </c>
      <c r="V28" s="55">
        <v>9200</v>
      </c>
      <c r="W28" s="55">
        <f t="shared" si="2"/>
        <v>6.809170126665702E-2</v>
      </c>
    </row>
    <row r="29" spans="1:23" x14ac:dyDescent="0.2">
      <c r="A29" s="34" t="s">
        <v>47</v>
      </c>
      <c r="B29" s="35" t="s">
        <v>42</v>
      </c>
      <c r="C29" s="36">
        <v>55654.295660000003</v>
      </c>
      <c r="D29" s="36">
        <v>1E-4</v>
      </c>
      <c r="E29" s="33">
        <f>+(C29-C$7)/C$8</f>
        <v>6060.5539510740964</v>
      </c>
      <c r="F29">
        <f>ROUND(2*E29,0)/2</f>
        <v>6060.5</v>
      </c>
      <c r="G29">
        <f>+C29-(C$7+F29*C$8)</f>
        <v>3.8345850000041537E-2</v>
      </c>
      <c r="K29">
        <f>+G29</f>
        <v>3.8345850000041537E-2</v>
      </c>
      <c r="O29">
        <f ca="1">+C$11+C$12*$F29</f>
        <v>3.782201231376256E-2</v>
      </c>
      <c r="P29" s="53">
        <f>+D$11+D$12*F29+D$13*F29^2</f>
        <v>3.8715911746568035E-2</v>
      </c>
      <c r="Q29" s="2">
        <f>+C29-15018.5</f>
        <v>40635.795660000003</v>
      </c>
      <c r="R29" s="55">
        <f>+(P29-G29)^2</f>
        <v>1.3694569624224223E-7</v>
      </c>
      <c r="S29" s="56">
        <v>1</v>
      </c>
      <c r="T29" s="55">
        <f>+S29*R29</f>
        <v>1.3694569624224223E-7</v>
      </c>
      <c r="V29" s="55">
        <v>9400</v>
      </c>
      <c r="W29" s="55">
        <f t="shared" si="2"/>
        <v>7.0319068440463275E-2</v>
      </c>
    </row>
    <row r="30" spans="1:23" x14ac:dyDescent="0.2">
      <c r="A30" s="37" t="s">
        <v>43</v>
      </c>
      <c r="B30" s="38" t="s">
        <v>42</v>
      </c>
      <c r="C30" s="37">
        <v>55654.298600000002</v>
      </c>
      <c r="D30" s="37">
        <v>4.3E-3</v>
      </c>
      <c r="E30" s="33">
        <f>+(C30-C$7)/C$8</f>
        <v>6060.5580875362621</v>
      </c>
      <c r="F30">
        <f>ROUND(2*E30,0)/2</f>
        <v>6060.5</v>
      </c>
      <c r="G30">
        <f>+C30-(C$7+F30*C$8)</f>
        <v>4.1285849998530466E-2</v>
      </c>
      <c r="K30">
        <f>+G30</f>
        <v>4.1285849998530466E-2</v>
      </c>
      <c r="O30">
        <f ca="1">+C$11+C$12*$F30</f>
        <v>3.782201231376256E-2</v>
      </c>
      <c r="P30" s="53">
        <f>+D$11+D$12*F30+D$13*F30^2</f>
        <v>3.8715911746568035E-2</v>
      </c>
      <c r="Q30" s="2">
        <f>+C30-15018.5</f>
        <v>40635.798600000002</v>
      </c>
      <c r="R30" s="55">
        <f>+(P30-G30)^2</f>
        <v>6.6045826188997147E-6</v>
      </c>
      <c r="S30" s="56">
        <v>1</v>
      </c>
      <c r="T30" s="55">
        <f>+S30*R30</f>
        <v>6.6045826188997147E-6</v>
      </c>
      <c r="V30" s="55">
        <v>9600</v>
      </c>
      <c r="W30" s="55">
        <f t="shared" si="2"/>
        <v>7.2589076702957681E-2</v>
      </c>
    </row>
    <row r="31" spans="1:23" x14ac:dyDescent="0.2">
      <c r="A31" s="34" t="s">
        <v>47</v>
      </c>
      <c r="B31" s="35" t="s">
        <v>36</v>
      </c>
      <c r="C31" s="36">
        <v>55665.311560000002</v>
      </c>
      <c r="D31" s="36">
        <v>2.0000000000000001E-4</v>
      </c>
      <c r="E31" s="33">
        <f>+(C31-C$7)/C$8</f>
        <v>6076.0528808700301</v>
      </c>
      <c r="F31">
        <f>ROUND(2*E31,0)/2</f>
        <v>6076</v>
      </c>
      <c r="G31">
        <f>+C31-(C$7+F31*C$8)</f>
        <v>3.7585199999739416E-2</v>
      </c>
      <c r="K31">
        <f>+G31</f>
        <v>3.7585199999739416E-2</v>
      </c>
      <c r="O31">
        <f ca="1">+C$11+C$12*$F31</f>
        <v>3.7971605869122765E-2</v>
      </c>
      <c r="P31" s="53">
        <f>+D$11+D$12*F31+D$13*F31^2</f>
        <v>3.8835133133920438E-2</v>
      </c>
      <c r="Q31" s="2">
        <f>+C31-15018.5</f>
        <v>40646.811560000002</v>
      </c>
      <c r="R31" s="55">
        <f>+(P31-G31)^2</f>
        <v>1.5623328399235931E-6</v>
      </c>
      <c r="S31" s="56">
        <v>1</v>
      </c>
      <c r="T31" s="55">
        <f>+S31*R31</f>
        <v>1.5623328399235931E-6</v>
      </c>
      <c r="V31" s="55">
        <v>9800</v>
      </c>
      <c r="W31" s="55">
        <f t="shared" si="2"/>
        <v>7.4901726054140236E-2</v>
      </c>
    </row>
    <row r="32" spans="1:23" x14ac:dyDescent="0.2">
      <c r="A32" s="37" t="s">
        <v>43</v>
      </c>
      <c r="B32" s="38" t="s">
        <v>36</v>
      </c>
      <c r="C32" s="37">
        <v>55665.312700000002</v>
      </c>
      <c r="D32" s="37">
        <v>1.2999999999999999E-3</v>
      </c>
      <c r="E32" s="33">
        <f>+(C32-C$7)/C$8</f>
        <v>6076.0544848043401</v>
      </c>
      <c r="F32">
        <f>ROUND(2*E32,0)/2</f>
        <v>6076</v>
      </c>
      <c r="G32">
        <f>+C32-(C$7+F32*C$8)</f>
        <v>3.8725200000044424E-2</v>
      </c>
      <c r="K32">
        <f>+G32</f>
        <v>3.8725200000044424E-2</v>
      </c>
      <c r="O32">
        <f ca="1">+C$11+C$12*$F32</f>
        <v>3.7971605869122765E-2</v>
      </c>
      <c r="P32" s="53">
        <f>+D$11+D$12*F32+D$13*F32^2</f>
        <v>3.8835133133920438E-2</v>
      </c>
      <c r="Q32" s="2">
        <f>+C32-15018.5</f>
        <v>40646.812700000002</v>
      </c>
      <c r="R32" s="55">
        <f>+(P32-G32)^2</f>
        <v>1.2085293923801617E-8</v>
      </c>
      <c r="S32" s="56">
        <v>1</v>
      </c>
      <c r="T32" s="55">
        <f>+S32*R32</f>
        <v>1.2085293923801617E-8</v>
      </c>
    </row>
    <row r="33" spans="1:20" x14ac:dyDescent="0.2">
      <c r="A33" s="34" t="s">
        <v>47</v>
      </c>
      <c r="B33" s="35" t="s">
        <v>36</v>
      </c>
      <c r="C33" s="36">
        <v>56009.319940000001</v>
      </c>
      <c r="D33" s="36">
        <v>2.9999999999999997E-4</v>
      </c>
      <c r="E33" s="33">
        <f>+(C33-C$7)/C$8</f>
        <v>6560.0588840866203</v>
      </c>
      <c r="F33">
        <f>ROUND(2*E33,0)/2</f>
        <v>6560</v>
      </c>
      <c r="G33">
        <f>+C33-(C$7+F33*C$8)</f>
        <v>4.185200000210898E-2</v>
      </c>
      <c r="K33">
        <f>+G33</f>
        <v>4.185200000210898E-2</v>
      </c>
      <c r="O33">
        <f ca="1">+C$11+C$12*$F33</f>
        <v>4.264278527520915E-2</v>
      </c>
      <c r="P33" s="53">
        <f>+D$11+D$12*F33+D$13*F33^2</f>
        <v>4.2686777404267975E-2</v>
      </c>
      <c r="Q33" s="2">
        <f>+C33-15018.5</f>
        <v>40990.819940000001</v>
      </c>
      <c r="R33" s="55">
        <f>+(P33-G33)^2</f>
        <v>6.9685331115532116E-7</v>
      </c>
      <c r="S33" s="56">
        <v>1</v>
      </c>
      <c r="T33" s="55">
        <f>+S33*R33</f>
        <v>6.9685331115532116E-7</v>
      </c>
    </row>
    <row r="34" spans="1:20" x14ac:dyDescent="0.2">
      <c r="A34" s="34" t="s">
        <v>47</v>
      </c>
      <c r="B34" s="35" t="s">
        <v>36</v>
      </c>
      <c r="C34" s="36">
        <v>56009.320639999998</v>
      </c>
      <c r="D34" s="36">
        <v>5.9999999999999995E-4</v>
      </c>
      <c r="E34" s="33">
        <f>+(C34-C$7)/C$8</f>
        <v>6560.0598689585613</v>
      </c>
      <c r="F34">
        <f>ROUND(2*E34,0)/2</f>
        <v>6560</v>
      </c>
      <c r="G34">
        <f>+C34-(C$7+F34*C$8)</f>
        <v>4.2551999998977408E-2</v>
      </c>
      <c r="K34">
        <f>+G34</f>
        <v>4.2551999998977408E-2</v>
      </c>
      <c r="O34">
        <f ca="1">+C$11+C$12*$F34</f>
        <v>4.264278527520915E-2</v>
      </c>
      <c r="P34" s="53">
        <f>+D$11+D$12*F34+D$13*F34^2</f>
        <v>4.2686777404267975E-2</v>
      </c>
      <c r="Q34" s="2">
        <f>+C34-15018.5</f>
        <v>40990.820639999998</v>
      </c>
      <c r="R34" s="55">
        <f>+(P34-G34)^2</f>
        <v>1.8164948976857916E-8</v>
      </c>
      <c r="S34" s="56">
        <v>1</v>
      </c>
      <c r="T34" s="55">
        <f>+S34*R34</f>
        <v>1.8164948976857916E-8</v>
      </c>
    </row>
    <row r="35" spans="1:20" x14ac:dyDescent="0.2">
      <c r="A35" s="34" t="s">
        <v>45</v>
      </c>
      <c r="B35" s="39" t="s">
        <v>36</v>
      </c>
      <c r="C35" s="40">
        <v>56070.4467</v>
      </c>
      <c r="D35" s="40">
        <v>6.9999999999999999E-4</v>
      </c>
      <c r="E35" s="33">
        <f>+(C35-C$7)/C$8</f>
        <v>6646.0617855193686</v>
      </c>
      <c r="F35">
        <f>ROUND(2*E35,0)/2</f>
        <v>6646</v>
      </c>
      <c r="G35">
        <f>+C35-(C$7+F35*C$8)</f>
        <v>4.3914199995924719E-2</v>
      </c>
      <c r="K35">
        <f>+G35</f>
        <v>4.3914199995924719E-2</v>
      </c>
      <c r="O35">
        <f ca="1">+C$11+C$12*$F35</f>
        <v>4.3472788227530285E-2</v>
      </c>
      <c r="P35" s="53">
        <f>+D$11+D$12*F35+D$13*F35^2</f>
        <v>4.339728880419199E-2</v>
      </c>
      <c r="Q35" s="2">
        <f>+C35-15018.5</f>
        <v>41051.9467</v>
      </c>
      <c r="R35" s="55">
        <f>+(P35-G35)^2</f>
        <v>2.6719718013854987E-7</v>
      </c>
      <c r="S35" s="56">
        <v>1</v>
      </c>
      <c r="T35" s="55">
        <f>+S35*R35</f>
        <v>2.6719718013854987E-7</v>
      </c>
    </row>
    <row r="36" spans="1:20" x14ac:dyDescent="0.2">
      <c r="A36" s="28" t="s">
        <v>48</v>
      </c>
      <c r="B36" s="27" t="s">
        <v>42</v>
      </c>
      <c r="C36" s="28">
        <v>56272.657529999997</v>
      </c>
      <c r="D36" s="28">
        <v>2.2000000000000001E-4</v>
      </c>
      <c r="E36" s="33">
        <f>+(C36-C$7)/C$8</f>
        <v>6930.5643189617458</v>
      </c>
      <c r="F36">
        <f>ROUND(2*E36,0)/2</f>
        <v>6930.5</v>
      </c>
      <c r="G36">
        <f>+C36-(C$7+F36*C$8)</f>
        <v>4.5714849991782103E-2</v>
      </c>
      <c r="K36">
        <f>+G36</f>
        <v>4.5714849991782103E-2</v>
      </c>
      <c r="O36">
        <f ca="1">+C$11+C$12*$F36</f>
        <v>4.6218553808174023E-2</v>
      </c>
      <c r="P36" s="53">
        <f>+D$11+D$12*F36+D$13*F36^2</f>
        <v>4.5803943154961488E-2</v>
      </c>
      <c r="Q36" s="2">
        <f>+C36-15018.5</f>
        <v>41254.157529999997</v>
      </c>
      <c r="R36" s="55">
        <f>+(P36-G36)^2</f>
        <v>7.937591725308539E-9</v>
      </c>
      <c r="S36" s="56">
        <v>1</v>
      </c>
      <c r="T36" s="55">
        <f>+S36*R36</f>
        <v>7.937591725308539E-9</v>
      </c>
    </row>
    <row r="37" spans="1:20" x14ac:dyDescent="0.2">
      <c r="A37" s="28" t="s">
        <v>48</v>
      </c>
      <c r="B37" s="27" t="s">
        <v>42</v>
      </c>
      <c r="C37" s="28">
        <v>56638.700400000002</v>
      </c>
      <c r="D37" s="28">
        <v>2.5999999999999998E-4</v>
      </c>
      <c r="E37" s="33">
        <f>+(C37-C$7)/C$8</f>
        <v>7445.5719664924045</v>
      </c>
      <c r="F37">
        <f>ROUND(2*E37,0)/2</f>
        <v>7445.5</v>
      </c>
      <c r="G37">
        <f>+C37-(C$7+F37*C$8)</f>
        <v>5.1150350001989864E-2</v>
      </c>
      <c r="K37">
        <f>+G37</f>
        <v>5.1150350001989864E-2</v>
      </c>
      <c r="O37">
        <f ca="1">+C$11+C$12*$F37</f>
        <v>5.1188920324980819E-2</v>
      </c>
      <c r="P37" s="53">
        <f>+D$11+D$12*F37+D$13*F37^2</f>
        <v>5.0379917143904399E-2</v>
      </c>
      <c r="Q37" s="2">
        <f>+C37-15018.5</f>
        <v>41620.200400000002</v>
      </c>
      <c r="R37" s="55">
        <f>+(P37-G37)^2</f>
        <v>5.9356678881773867E-7</v>
      </c>
      <c r="S37" s="56">
        <v>1</v>
      </c>
      <c r="T37" s="55">
        <f>+S37*R37</f>
        <v>5.9356678881773867E-7</v>
      </c>
    </row>
    <row r="38" spans="1:20" x14ac:dyDescent="0.2">
      <c r="A38" s="57" t="s">
        <v>0</v>
      </c>
      <c r="B38" s="58" t="s">
        <v>36</v>
      </c>
      <c r="C38" s="59">
        <v>57081.8609</v>
      </c>
      <c r="D38" s="59">
        <v>2.9999999999999997E-4</v>
      </c>
      <c r="E38" s="33">
        <f>+(C38-C$7)/C$8</f>
        <v>8069.0810286509059</v>
      </c>
      <c r="F38">
        <f>ROUND(2*E38,0)/2</f>
        <v>8069</v>
      </c>
      <c r="G38">
        <f>+C38-(C$7+F38*C$8)</f>
        <v>5.7591299999330658E-2</v>
      </c>
      <c r="K38">
        <f>+G38</f>
        <v>5.7591299999330658E-2</v>
      </c>
      <c r="O38">
        <f ca="1">+C$11+C$12*$F38</f>
        <v>5.720644172930904E-2</v>
      </c>
      <c r="P38" s="53">
        <f>+D$11+D$12*F38+D$13*F38^2</f>
        <v>5.6298317797641204E-2</v>
      </c>
      <c r="Q38" s="2">
        <f>+C38-15018.5</f>
        <v>42063.3609</v>
      </c>
      <c r="R38" s="55">
        <f>+(P38-G38)^2</f>
        <v>1.6718029738857101E-6</v>
      </c>
      <c r="S38" s="56">
        <v>1</v>
      </c>
      <c r="T38" s="55">
        <f>+S38*R38</f>
        <v>1.6718029738857101E-6</v>
      </c>
    </row>
    <row r="39" spans="1:20" x14ac:dyDescent="0.2">
      <c r="A39" s="60" t="s">
        <v>0</v>
      </c>
      <c r="B39" s="61" t="s">
        <v>36</v>
      </c>
      <c r="C39" s="60">
        <v>57081.8609</v>
      </c>
      <c r="D39" s="60">
        <v>2.9999999999999997E-4</v>
      </c>
      <c r="E39" s="33">
        <f>+(C39-C$7)/C$8</f>
        <v>8069.0810286509059</v>
      </c>
      <c r="F39">
        <f>ROUND(2*E39,0)/2</f>
        <v>8069</v>
      </c>
      <c r="G39">
        <f>+C39-(C$7+F39*C$8)</f>
        <v>5.7591299999330658E-2</v>
      </c>
      <c r="K39">
        <f>+G39</f>
        <v>5.7591299999330658E-2</v>
      </c>
      <c r="O39">
        <f ca="1">+C$11+C$12*$F39</f>
        <v>5.720644172930904E-2</v>
      </c>
      <c r="P39" s="53">
        <f>+D$11+D$12*F39+D$13*F39^2</f>
        <v>5.6298317797641204E-2</v>
      </c>
      <c r="Q39" s="2">
        <f>+C39-15018.5</f>
        <v>42063.3609</v>
      </c>
      <c r="R39" s="55">
        <f>+(P39-G39)^2</f>
        <v>1.6718029738857101E-6</v>
      </c>
      <c r="S39" s="56">
        <v>0.1</v>
      </c>
      <c r="T39" s="55">
        <f>+S39*R39</f>
        <v>1.6718029738857103E-7</v>
      </c>
    </row>
    <row r="40" spans="1:20" x14ac:dyDescent="0.2">
      <c r="A40" s="41" t="s">
        <v>49</v>
      </c>
      <c r="B40" s="3" t="s">
        <v>42</v>
      </c>
      <c r="C40" s="10">
        <v>58161.862000000001</v>
      </c>
      <c r="D40" s="10">
        <v>1E-3</v>
      </c>
      <c r="E40" s="33">
        <f>+(C40-C$7)/C$8</f>
        <v>9588.59929120173</v>
      </c>
      <c r="F40">
        <f>ROUND(2*E40,0)/2</f>
        <v>9588.5</v>
      </c>
      <c r="G40">
        <f>+C40-(C$7+F40*C$8)</f>
        <v>7.0571449999988545E-2</v>
      </c>
      <c r="K40">
        <f>+G40</f>
        <v>7.0571449999988545E-2</v>
      </c>
      <c r="O40">
        <f ca="1">+C$11+C$12*$F40</f>
        <v>7.1871435753169066E-2</v>
      </c>
      <c r="P40" s="53">
        <f>+D$11+D$12*F40+D$13*F40^2</f>
        <v>7.2457395787614204E-2</v>
      </c>
      <c r="Q40" s="2">
        <f>+C40-15018.5</f>
        <v>43143.362000000001</v>
      </c>
      <c r="R40" s="55">
        <f>+(P40-G40)^2</f>
        <v>3.5567915138629678E-6</v>
      </c>
      <c r="S40" s="56">
        <v>0.5</v>
      </c>
      <c r="T40" s="55">
        <f>+S40*R40</f>
        <v>1.7783957569314839E-6</v>
      </c>
    </row>
    <row r="41" spans="1:20" x14ac:dyDescent="0.2">
      <c r="A41" s="41" t="s">
        <v>49</v>
      </c>
      <c r="B41" s="3" t="s">
        <v>36</v>
      </c>
      <c r="C41" s="62">
        <v>58180.701000000001</v>
      </c>
      <c r="D41" s="62">
        <v>2E-3</v>
      </c>
      <c r="E41" s="33">
        <f>+(C41-C$7)/C$8</f>
        <v>9615.105009157196</v>
      </c>
      <c r="F41">
        <f>ROUND(2*E41,0)/2</f>
        <v>9615</v>
      </c>
      <c r="G41">
        <f>+C41-(C$7+F41*C$8)</f>
        <v>7.4635500001022592E-2</v>
      </c>
      <c r="K41">
        <f>+G41</f>
        <v>7.4635500001022592E-2</v>
      </c>
      <c r="O41">
        <f ca="1">+C$11+C$12*$F41</f>
        <v>7.2127192476849414E-2</v>
      </c>
      <c r="P41" s="53">
        <f>+D$11+D$12*F41+D$13*F41^2</f>
        <v>7.2761046291532502E-2</v>
      </c>
      <c r="Q41" s="2">
        <f>+C41-15018.5</f>
        <v>43162.201000000001</v>
      </c>
      <c r="R41" s="55">
        <f>+(P41-G41)^2</f>
        <v>3.5135767090211583E-6</v>
      </c>
      <c r="S41" s="56">
        <v>0.1</v>
      </c>
      <c r="T41" s="55">
        <f>+S41*R41</f>
        <v>3.5135767090211583E-7</v>
      </c>
    </row>
    <row r="42" spans="1:20" x14ac:dyDescent="0.2">
      <c r="A42" s="41" t="s">
        <v>49</v>
      </c>
      <c r="B42" s="3" t="s">
        <v>36</v>
      </c>
      <c r="C42" s="65">
        <v>58182.830999999998</v>
      </c>
      <c r="D42" s="65">
        <v>2E-3</v>
      </c>
      <c r="E42" s="33">
        <f>+(C42-C$7)/C$8</f>
        <v>9618.1018337893474</v>
      </c>
      <c r="F42">
        <f>ROUND(2*E42,0)/2</f>
        <v>9618</v>
      </c>
      <c r="G42">
        <f>+C42-(C$7+F42*C$8)</f>
        <v>7.2378599994408432E-2</v>
      </c>
      <c r="K42">
        <f>+G42</f>
        <v>7.2378599994408432E-2</v>
      </c>
      <c r="O42">
        <f ca="1">+C$11+C$12*$F42</f>
        <v>7.2156146068209456E-2</v>
      </c>
      <c r="P42" s="53">
        <f>+D$11+D$12*F42+D$13*F42^2</f>
        <v>7.2795468991982332E-2</v>
      </c>
      <c r="Q42" s="2">
        <f>+C42-15018.5</f>
        <v>43164.330999999998</v>
      </c>
      <c r="R42" s="55">
        <f>+(P42-G42)^2</f>
        <v>1.7377976113826764E-7</v>
      </c>
      <c r="S42" s="56">
        <v>0.1</v>
      </c>
      <c r="T42" s="55">
        <f>+S42*R42</f>
        <v>1.7377976113826763E-8</v>
      </c>
    </row>
    <row r="43" spans="1:20" x14ac:dyDescent="0.2">
      <c r="A43" s="41" t="s">
        <v>49</v>
      </c>
      <c r="B43" s="66" t="s">
        <v>36</v>
      </c>
      <c r="C43" s="63">
        <v>58185.670899999997</v>
      </c>
      <c r="D43" s="64">
        <v>5.0000000000000001E-4</v>
      </c>
      <c r="E43" s="33">
        <f>+(C43-C$7)/C$8</f>
        <v>9622.0974592695584</v>
      </c>
      <c r="F43">
        <f>ROUND(2*E43,0)/2</f>
        <v>9622</v>
      </c>
      <c r="G43">
        <f>+C43-(C$7+F43*C$8)</f>
        <v>6.9269399995391723E-2</v>
      </c>
      <c r="K43">
        <f>+G43</f>
        <v>6.9269399995391723E-2</v>
      </c>
      <c r="O43">
        <f ca="1">+C$11+C$12*$F43</f>
        <v>7.2194750856689513E-2</v>
      </c>
      <c r="P43" s="53">
        <f>+D$11+D$12*F43+D$13*F43^2</f>
        <v>7.2841380850296469E-2</v>
      </c>
      <c r="Q43" s="2">
        <f>+C43-15018.5</f>
        <v>43167.170899999997</v>
      </c>
      <c r="R43" s="55">
        <f>+(P43-G43)^2</f>
        <v>1.2759047227806045E-5</v>
      </c>
      <c r="S43" s="56">
        <v>1</v>
      </c>
      <c r="T43" s="55">
        <f>+S43*R43</f>
        <v>1.2759047227806045E-5</v>
      </c>
    </row>
    <row r="44" spans="1:20" x14ac:dyDescent="0.2">
      <c r="A44" s="41" t="s">
        <v>64</v>
      </c>
      <c r="B44" s="66" t="s">
        <v>36</v>
      </c>
      <c r="C44" s="10">
        <v>58943.702400000002</v>
      </c>
      <c r="D44" s="10">
        <v>4.0000000000000002E-4</v>
      </c>
      <c r="E44" s="33">
        <f>+(C44-C$7)/C$8</f>
        <v>10688.617398775916</v>
      </c>
      <c r="F44">
        <f>ROUND(2*E44,0)/2</f>
        <v>10688.5</v>
      </c>
      <c r="G44">
        <f>+C44-(C$7+F44*C$8)</f>
        <v>8.3441449998645112E-2</v>
      </c>
      <c r="K44">
        <f>+G44</f>
        <v>8.3441449998645112E-2</v>
      </c>
      <c r="O44">
        <f ca="1">+C$11+C$12*$F44</f>
        <v>8.2487752585183566E-2</v>
      </c>
      <c r="P44" s="53">
        <f>+D$11+D$12*F44+D$13*F44^2</f>
        <v>8.5691165447336487E-2</v>
      </c>
      <c r="Q44" s="2">
        <f>+C44-15018.5</f>
        <v>43925.202400000002</v>
      </c>
      <c r="R44" s="55">
        <f>+(P44-G44)^2</f>
        <v>5.0612196000806349E-6</v>
      </c>
      <c r="S44" s="56">
        <v>1</v>
      </c>
      <c r="T44" s="55">
        <f>+S44*R44</f>
        <v>5.0612196000806349E-6</v>
      </c>
    </row>
    <row r="45" spans="1:20" x14ac:dyDescent="0.2">
      <c r="C45" s="10"/>
      <c r="D45" s="10"/>
    </row>
    <row r="46" spans="1:20" x14ac:dyDescent="0.2">
      <c r="C46" s="10"/>
      <c r="D46" s="10"/>
    </row>
    <row r="47" spans="1:20" x14ac:dyDescent="0.2">
      <c r="C47" s="10"/>
      <c r="D47" s="10"/>
    </row>
    <row r="48" spans="1:20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</sheetData>
  <sortState xmlns:xlrd2="http://schemas.microsoft.com/office/spreadsheetml/2017/richdata2" ref="A21:T44">
    <sortCondition ref="C21:C44"/>
  </sortState>
  <phoneticPr fontId="8" type="noConversion"/>
  <hyperlinks>
    <hyperlink ref="H62961" r:id="rId1" display="http://vsolj.cetus-net.org/bulletin.html"/>
    <hyperlink ref="H62954" r:id="rId2" display="http://vsolj.cetus-net.org/bulletin.html"/>
    <hyperlink ref="AP65324" r:id="rId3" display="http://cdsbib.u-strasbg.fr/cgi-bin/cdsbib?1990RMxAA..21..381G"/>
    <hyperlink ref="AP65329" r:id="rId4" display="http://cdsbib.u-strasbg.fr/cgi-bin/cdsbib?1990RMxAA..21..381G"/>
    <hyperlink ref="AP65325" r:id="rId5" display="http://cdsbib.u-strasbg.fr/cgi-bin/cdsbib?1990RMxAA..21..381G"/>
    <hyperlink ref="AP65313" r:id="rId6" display="http://cdsbib.u-strasbg.fr/cgi-bin/cdsbib?1990RMxAA..21..381G"/>
    <hyperlink ref="I62961" r:id="rId7" display="http://vsolj.cetus-net.org/bulletin.html"/>
    <hyperlink ref="AQ65324" r:id="rId8" display="http://cdsbib.u-strasbg.fr/cgi-bin/cdsbib?1990RMxAA..21..381G"/>
    <hyperlink ref="AQ65329" r:id="rId9" display="http://cdsbib.u-strasbg.fr/cgi-bin/cdsbib?1990RMxAA..21..381G"/>
    <hyperlink ref="AQ65325" r:id="rId10" display="http://cdsbib.u-strasbg.fr/cgi-bin/cdsbib?1990RMxAA..21..381G"/>
    <hyperlink ref="H62502" r:id="rId11" display="http://vsolj.cetus-net.org/bulletin.html"/>
    <hyperlink ref="H62495" r:id="rId12" display="https://www.aavso.org/ejaavso"/>
    <hyperlink ref="I62502" r:id="rId13" display="http://vsolj.cetus-net.org/bulletin.html"/>
    <hyperlink ref="AQ56145" r:id="rId14" display="http://cdsbib.u-strasbg.fr/cgi-bin/cdsbib?1990RMxAA..21..381G"/>
    <hyperlink ref="H62499" r:id="rId15" display="https://www.aavso.org/ejaavso"/>
    <hyperlink ref="AP3509" r:id="rId16" display="http://cdsbib.u-strasbg.fr/cgi-bin/cdsbib?1990RMxAA..21..381G"/>
    <hyperlink ref="AP3512" r:id="rId17" display="http://cdsbib.u-strasbg.fr/cgi-bin/cdsbib?1990RMxAA..21..381G"/>
    <hyperlink ref="AP3510" r:id="rId18" display="http://cdsbib.u-strasbg.fr/cgi-bin/cdsbib?1990RMxAA..21..381G"/>
    <hyperlink ref="AP3494" r:id="rId19" display="http://cdsbib.u-strasbg.fr/cgi-bin/cdsbib?1990RMxAA..21..381G"/>
    <hyperlink ref="AQ3723" r:id="rId20" display="http://cdsbib.u-strasbg.fr/cgi-bin/cdsbib?1990RMxAA..21..381G"/>
    <hyperlink ref="AQ3727" r:id="rId21" display="http://cdsbib.u-strasbg.fr/cgi-bin/cdsbib?1990RMxAA..21..381G"/>
    <hyperlink ref="AQ63415" r:id="rId22" display="http://cdsbib.u-strasbg.fr/cgi-bin/cdsbib?1990RMxAA..21..381G"/>
    <hyperlink ref="I615" r:id="rId23" display="http://vsolj.cetus-net.org/bulletin.html"/>
    <hyperlink ref="H615" r:id="rId24" display="http://vsolj.cetus-net.org/bulletin.html"/>
    <hyperlink ref="AQ64076" r:id="rId25" display="http://cdsbib.u-strasbg.fr/cgi-bin/cdsbib?1990RMxAA..21..381G"/>
    <hyperlink ref="AQ64075" r:id="rId26" display="http://cdsbib.u-strasbg.fr/cgi-bin/cdsbib?1990RMxAA..21..381G"/>
    <hyperlink ref="AP1785" r:id="rId27" display="http://cdsbib.u-strasbg.fr/cgi-bin/cdsbib?1990RMxAA..21..381G"/>
    <hyperlink ref="AP1803" r:id="rId28" display="http://cdsbib.u-strasbg.fr/cgi-bin/cdsbib?1990RMxAA..21..381G"/>
    <hyperlink ref="AP1804" r:id="rId29" display="http://cdsbib.u-strasbg.fr/cgi-bin/cdsbib?1990RMxAA..21..381G"/>
    <hyperlink ref="AP1800" r:id="rId30" display="http://cdsbib.u-strasbg.fr/cgi-bin/cdsbib?1990RMxAA..21..381G"/>
  </hyperlinks>
  <pageMargins left="0.75" right="0.75" top="1" bottom="1" header="0.5" footer="0.5"/>
  <pageSetup orientation="portrait" horizontalDpi="300" verticalDpi="300" r:id="rId31"/>
  <headerFooter alignWithMargins="0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2023-01-25T05:03:48Z</dcterms:modified>
</cp:coreProperties>
</file>