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32760" windowWidth="9285" windowHeight="1440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<sst xmlns="http://schemas.openxmlformats.org/spreadsheetml/2006/main" count="130" uniqueCount="99">
  <si>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</si>
  <si>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</si>
  <si>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</si>
  <si>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</si>
  <si>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</si>
  <si>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</si>
  <si>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</si>
  <si>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</si>
  <si>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</si>
  <si>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</si>
  <si>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</si>
  <si>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</si>
  <si>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</si>
  <si>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</si>
  <si>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</si>
  <si>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</si>
  <si>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</si>
  <si>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</si>
  <si>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</si>
  <si>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</si>
  <si>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</si>
  <si>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</si>
  <si>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</si>
  <si>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</si>
  <si>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</si>
  <si>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</si>
  <si>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</si>
  <si>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</si>
  <si>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</si>
  <si>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</si>
  <si>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</si>
  <si>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</si>
  <si>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</si>
  <si>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</si>
  <si>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</si>
  <si>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</si>
  <si>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</si>
  <si>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</si>
  <si>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</si>
  <si>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</si>
  <si>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GO Vul</t>
  </si>
  <si>
    <t>GO Vul / GSC 2147-0989</t>
  </si>
  <si>
    <t>G2147-0989</t>
  </si>
  <si>
    <t>EA/KE:</t>
  </si>
  <si>
    <t>IBVS 5353</t>
  </si>
  <si>
    <t>I</t>
  </si>
  <si>
    <t>II</t>
  </si>
  <si>
    <t>IBVS 6010</t>
  </si>
  <si>
    <t>Kreiner</t>
  </si>
  <si>
    <t>IBVS 5984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</si>
  <si>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</si>
  <si>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</si>
  <si>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</si>
  <si>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</si>
  <si>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</si>
  <si>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</si>
  <si>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</si>
  <si>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</si>
  <si>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</si>
  <si>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</si>
  <si>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</si>
  <si>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</si>
  <si>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2451362.382 </t>
  </si>
  <si>
    <t> 02.07.1999 21:10 </t>
  </si>
  <si>
    <t> -0.033 </t>
  </si>
  <si>
    <t>E </t>
  </si>
  <si>
    <t>?</t>
  </si>
  <si>
    <t> R.Diethelm </t>
  </si>
  <si>
    <t> BBS 120 </t>
  </si>
  <si>
    <t>2452505.4943 </t>
  </si>
  <si>
    <t> 18.08.2002 23:51 </t>
  </si>
  <si>
    <t> -0.0356 </t>
  </si>
  <si>
    <t> Wolf&amp;Sarounova </t>
  </si>
  <si>
    <t>IBVS 5353 </t>
  </si>
  <si>
    <t>2452506.5035 </t>
  </si>
  <si>
    <t> 20.08.2002 00:05 </t>
  </si>
  <si>
    <t> -0.0354 </t>
  </si>
  <si>
    <t>2452507.5120 </t>
  </si>
  <si>
    <t> 21.08.2002 00:17 </t>
  </si>
  <si>
    <t> -0.0358 </t>
  </si>
  <si>
    <t>2455430.3734 </t>
  </si>
  <si>
    <t> 21.08.2010 20:57 </t>
  </si>
  <si>
    <t> -0.0384 </t>
  </si>
  <si>
    <t>C </t>
  </si>
  <si>
    <t>-I</t>
  </si>
  <si>
    <t> F.Agerer </t>
  </si>
  <si>
    <t>BAVM 215 </t>
  </si>
  <si>
    <t>2455776.4367 </t>
  </si>
  <si>
    <t> 02.08.2011 22:28 </t>
  </si>
  <si>
    <t>20961</t>
  </si>
  <si>
    <t> -0.0374 </t>
  </si>
  <si>
    <t>BAVM 220 </t>
  </si>
  <si>
    <t>2456795.4455 </t>
  </si>
  <si>
    <t> 17.05.2014 22:41 </t>
  </si>
  <si>
    <t>21971</t>
  </si>
  <si>
    <t> -0.0457 </t>
  </si>
  <si>
    <t>o</t>
  </si>
  <si>
    <t> W.Moschner &amp; P.Frank </t>
  </si>
  <si>
    <t>BAVM 238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</si>
</sst>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 Vul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0.0006</c:v>
                  </c:pt>
                  <c:pt idx="5">
                    <c:v>0.0025</c:v>
                  </c:pt>
                  <c:pt idx="6">
                    <c:v>0.0018</c:v>
                  </c:pt>
                  <c:pt idx="7">
                    <c:v>0.0004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0.0006</c:v>
                  </c:pt>
                  <c:pt idx="5">
                    <c:v>0.0025</c:v>
                  </c:pt>
                  <c:pt idx="6">
                    <c:v>0.0018</c:v>
                  </c:pt>
                  <c:pt idx="7">
                    <c:v>0.0004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0.0006</c:v>
                  </c:pt>
                  <c:pt idx="5">
                    <c:v>0.0025</c:v>
                  </c:pt>
                  <c:pt idx="6">
                    <c:v>0.0018</c:v>
                  </c:pt>
                  <c:pt idx="7">
                    <c:v>0.0004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0.0006</c:v>
                  </c:pt>
                  <c:pt idx="5">
                    <c:v>0.0025</c:v>
                  </c:pt>
                  <c:pt idx="6">
                    <c:v>0.0018</c:v>
                  </c:pt>
                  <c:pt idx="7">
                    <c:v>0.0004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0.0006</c:v>
                  </c:pt>
                  <c:pt idx="5">
                    <c:v>0.0025</c:v>
                  </c:pt>
                  <c:pt idx="6">
                    <c:v>0.0018</c:v>
                  </c:pt>
                  <c:pt idx="7">
                    <c:v>0.0004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0.0006</c:v>
                  </c:pt>
                  <c:pt idx="5">
                    <c:v>0.0025</c:v>
                  </c:pt>
                  <c:pt idx="6">
                    <c:v>0.0018</c:v>
                  </c:pt>
                  <c:pt idx="7">
                    <c:v>0.0004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0.0006</c:v>
                  </c:pt>
                  <c:pt idx="5">
                    <c:v>0.0025</c:v>
                  </c:pt>
                  <c:pt idx="6">
                    <c:v>0.0018</c:v>
                  </c:pt>
                  <c:pt idx="7">
                    <c:v>0.0004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0.0006</c:v>
                  </c:pt>
                  <c:pt idx="5">
                    <c:v>0.0025</c:v>
                  </c:pt>
                  <c:pt idx="6">
                    <c:v>0.0018</c:v>
                  </c:pt>
                  <c:pt idx="7">
                    <c:v>0.0004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0.0006</c:v>
                  </c:pt>
                  <c:pt idx="5">
                    <c:v>0.0025</c:v>
                  </c:pt>
                  <c:pt idx="6">
                    <c:v>0.0018</c:v>
                  </c:pt>
                  <c:pt idx="7">
                    <c:v>0.0004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0.0006</c:v>
                  </c:pt>
                  <c:pt idx="5">
                    <c:v>0.0025</c:v>
                  </c:pt>
                  <c:pt idx="6">
                    <c:v>0.0018</c:v>
                  </c:pt>
                  <c:pt idx="7">
                    <c:v>0.0004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0.0006</c:v>
                  </c:pt>
                  <c:pt idx="5">
                    <c:v>0.0025</c:v>
                  </c:pt>
                  <c:pt idx="6">
                    <c:v>0.0018</c:v>
                  </c:pt>
                  <c:pt idx="7">
                    <c:v>0.0004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0.0006</c:v>
                  </c:pt>
                  <c:pt idx="5">
                    <c:v>0.0025</c:v>
                  </c:pt>
                  <c:pt idx="6">
                    <c:v>0.0018</c:v>
                  </c:pt>
                  <c:pt idx="7">
                    <c:v>0.0004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0.0006</c:v>
                  </c:pt>
                  <c:pt idx="5">
                    <c:v>0.0025</c:v>
                  </c:pt>
                  <c:pt idx="6">
                    <c:v>0.0018</c:v>
                  </c:pt>
                  <c:pt idx="7">
                    <c:v>0.0004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0.0006</c:v>
                  </c:pt>
                  <c:pt idx="5">
                    <c:v>0.0025</c:v>
                  </c:pt>
                  <c:pt idx="6">
                    <c:v>0.0018</c:v>
                  </c:pt>
                  <c:pt idx="7">
                    <c:v>0.0004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9613483"/>
        <c:axId val="19412484"/>
      </c:scatterChart>
      <c:valAx>
        <c:axId val="961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2484"/>
        <c:crosses val="autoZero"/>
        <c:crossBetween val="midCat"/>
        <c:dispUnits/>
      </c:valAx>
      <c:valAx>
        <c:axId val="1941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348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905"/>
          <c:y val="0.934"/>
          <c:w val="0.763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386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353" TargetMode="External" /><Relationship Id="rId2" Type="http://schemas.openxmlformats.org/officeDocument/2006/relationships/hyperlink" Target="http://www.konkoly.hu/cgi-bin/IBVS?5353" TargetMode="External" /><Relationship Id="rId3" Type="http://schemas.openxmlformats.org/officeDocument/2006/relationships/hyperlink" Target="http://www.konkoly.hu/cgi-bin/IBVS?5353" TargetMode="External" /><Relationship Id="rId4" Type="http://schemas.openxmlformats.org/officeDocument/2006/relationships/hyperlink" Target="http://www.bav-astro.de/sfs/BAVM_link.php?BAVMnr=215" TargetMode="External" /><Relationship Id="rId5" Type="http://schemas.openxmlformats.org/officeDocument/2006/relationships/hyperlink" Target="http://www.bav-astro.de/sfs/BAVM_link.php?BAVMnr=220" TargetMode="External" /><Relationship Id="rId6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6" ht="20.25">
      <c r="A1" s="1" t="s">
        <v>41</v>
      </c>
      <c r="E1" s="29" t="s">
        <v>40</v>
      </c>
      <c r="F1" t="s">
        <v>42</v>
      </c>
    </row>
    <row r="2" spans="1:5" ht="12.75">
      <c r="A2" t="s">
        <v>24</v>
      </c>
      <c r="B2" t="s">
        <v>43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52501.459</v>
      </c>
      <c r="D4" s="9">
        <v>2.0178518</v>
      </c>
    </row>
    <row r="5" spans="1:4" ht="13.5" thickTop="1">
      <c r="A5" s="11" t="s">
        <v>31</v>
      </c>
      <c r="B5" s="12"/>
      <c r="C5" s="13">
        <v>-9.5</v>
      </c>
      <c r="D5" s="12" t="s">
        <v>32</v>
      </c>
    </row>
    <row r="6" ht="12.75">
      <c r="A6" s="5" t="s">
        <v>1</v>
      </c>
    </row>
    <row r="7" spans="1:3" ht="12.75">
      <c r="A7" t="s">
        <v>2</v>
      </c>
      <c r="C7">
        <v>52501.459</v>
      </c>
    </row>
    <row r="8" spans="1:3" ht="12.75">
      <c r="A8" t="s">
        <v>3</v>
      </c>
      <c r="C8">
        <v>2.0178518</v>
      </c>
    </row>
    <row r="9" spans="1:4" ht="12.75">
      <c r="A9" s="26" t="s">
        <v>36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5" ht="12.75">
      <c r="A11" s="12" t="s">
        <v>15</v>
      </c>
      <c r="B11" s="12"/>
      <c r="C11" s="23">
        <f ca="1">INTERCEPT(INDIRECT($D$9):G992,INDIRECT($C$9):F992)</f>
        <v>0.00018476544919511826</v>
      </c>
      <c r="D11" s="3"/>
      <c r="E11" s="12"/>
    </row>
    <row r="12" spans="1:5" ht="12.75">
      <c r="A12" s="12" t="s">
        <v>16</v>
      </c>
      <c r="B12" s="12"/>
      <c r="C12" s="23">
        <f ca="1">SLOPE(INDIRECT($D$9):G992,INDIRECT($C$9):F992)</f>
        <v>5.133949792676628E-07</v>
      </c>
      <c r="D12" s="3"/>
      <c r="E12" s="12"/>
    </row>
    <row r="13" spans="1:3" ht="12.75">
      <c r="A13" s="12" t="s">
        <v>19</v>
      </c>
      <c r="B13" s="12"/>
      <c r="C13" s="3" t="s">
        <v>13</v>
      </c>
    </row>
    <row r="14" spans="1:3" ht="12.75">
      <c r="A14" s="12"/>
      <c r="B14" s="12"/>
      <c r="C14" s="12"/>
    </row>
    <row r="15" spans="1:6" ht="12.75">
      <c r="A15" s="14" t="s">
        <v>17</v>
      </c>
      <c r="B15" s="12"/>
      <c r="C15" s="15">
        <f>(C7+C11)+(C8+C12)*INT(MAX(F21:F3533))</f>
        <v>56795.44890766997</v>
      </c>
      <c r="E15" s="16" t="s">
        <v>38</v>
      </c>
      <c r="F15" s="13">
        <v>1</v>
      </c>
    </row>
    <row r="16" spans="1:6" ht="12.75">
      <c r="A16" s="18" t="s">
        <v>4</v>
      </c>
      <c r="B16" s="12"/>
      <c r="C16" s="19">
        <f>+C8+C12</f>
        <v>2.0178523133949793</v>
      </c>
      <c r="E16" s="16" t="s">
        <v>33</v>
      </c>
      <c r="F16" s="17">
        <f ca="1">NOW()+15018.5+$C$5/24</f>
        <v>59907.85918692129</v>
      </c>
    </row>
    <row r="17" spans="1:6" ht="13.5" thickBot="1">
      <c r="A17" s="16" t="s">
        <v>30</v>
      </c>
      <c r="B17" s="12"/>
      <c r="C17" s="12">
        <f>COUNT(C21:C2191)</f>
        <v>8</v>
      </c>
      <c r="E17" s="16" t="s">
        <v>39</v>
      </c>
      <c r="F17" s="17">
        <f>ROUND(2*(F16-$C$7)/$C$8,0)/2+F15</f>
        <v>3671.5</v>
      </c>
    </row>
    <row r="18" spans="1:6" ht="14.25" thickBot="1" thickTop="1">
      <c r="A18" s="18" t="s">
        <v>5</v>
      </c>
      <c r="B18" s="12"/>
      <c r="C18" s="21">
        <f>+C15</f>
        <v>56795.44890766997</v>
      </c>
      <c r="D18" s="22">
        <f>+C16</f>
        <v>2.0178523133949793</v>
      </c>
      <c r="E18" s="16" t="s">
        <v>34</v>
      </c>
      <c r="F18" s="25">
        <f>ROUND(2*(F16-$C$15)/$C$16,0)/2+F15</f>
        <v>1543.5</v>
      </c>
    </row>
    <row r="19" spans="5:6" ht="13.5" thickTop="1">
      <c r="E19" s="16" t="s">
        <v>35</v>
      </c>
      <c r="F19" s="20">
        <f>+$C$15+$C$16*F18-15018.5-$C$5/24</f>
        <v>44891.899786728456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U20" s="28" t="s">
        <v>37</v>
      </c>
    </row>
    <row r="21" spans="1:17" ht="12.75">
      <c r="A21" s="49" t="s">
        <v>68</v>
      </c>
      <c r="B21" s="51" t="s">
        <v>45</v>
      </c>
      <c r="C21" s="50">
        <v>51362.382</v>
      </c>
      <c r="D21" s="10"/>
      <c r="E21">
        <f aca="true" t="shared" si="0" ref="E21:E28">+(C21-C$7)/C$8</f>
        <v>-564.4998309588468</v>
      </c>
      <c r="F21">
        <f aca="true" t="shared" si="1" ref="F21:F28">ROUND(2*E21,0)/2</f>
        <v>-564.5</v>
      </c>
      <c r="G21">
        <f aca="true" t="shared" si="2" ref="G21:G28">+C21-(C$7+F21*C$8)</f>
        <v>0.00034109999251086265</v>
      </c>
      <c r="I21">
        <f>+G21</f>
        <v>0.00034109999251086265</v>
      </c>
      <c r="O21">
        <f aca="true" t="shared" si="3" ref="O21:O28">+C$11+C$12*$F21</f>
        <v>-0.00010504601660147738</v>
      </c>
      <c r="Q21" s="2">
        <f aca="true" t="shared" si="4" ref="Q21:Q28">+C21-15018.5</f>
        <v>36343.882</v>
      </c>
    </row>
    <row r="22" spans="1:17" ht="12.75">
      <c r="A22" t="s">
        <v>48</v>
      </c>
      <c r="C22" s="10">
        <v>52501.459</v>
      </c>
      <c r="D22" s="10" t="s">
        <v>13</v>
      </c>
      <c r="E22">
        <f t="shared" si="0"/>
        <v>0</v>
      </c>
      <c r="F22">
        <f t="shared" si="1"/>
        <v>0</v>
      </c>
      <c r="G22">
        <f t="shared" si="2"/>
        <v>0</v>
      </c>
      <c r="H22">
        <f>+G22</f>
        <v>0</v>
      </c>
      <c r="O22">
        <f t="shared" si="3"/>
        <v>0.00018476544919511826</v>
      </c>
      <c r="Q22" s="2">
        <f t="shared" si="4"/>
        <v>37482.959</v>
      </c>
    </row>
    <row r="23" spans="1:17" ht="12.75">
      <c r="A23" s="30" t="s">
        <v>44</v>
      </c>
      <c r="B23" s="31" t="s">
        <v>45</v>
      </c>
      <c r="C23" s="30">
        <v>52505.4943</v>
      </c>
      <c r="D23" s="30">
        <v>0.0008</v>
      </c>
      <c r="E23">
        <f t="shared" si="0"/>
        <v>1.9997999853090866</v>
      </c>
      <c r="F23">
        <f t="shared" si="1"/>
        <v>2</v>
      </c>
      <c r="G23">
        <f t="shared" si="2"/>
        <v>-0.00040360000275541097</v>
      </c>
      <c r="I23">
        <f aca="true" t="shared" si="5" ref="I23:I28">+G23</f>
        <v>-0.00040360000275541097</v>
      </c>
      <c r="O23">
        <f t="shared" si="3"/>
        <v>0.00018579223915365359</v>
      </c>
      <c r="Q23" s="2">
        <f t="shared" si="4"/>
        <v>37486.9943</v>
      </c>
    </row>
    <row r="24" spans="1:17" ht="12.75">
      <c r="A24" s="30" t="s">
        <v>44</v>
      </c>
      <c r="B24" s="31" t="s">
        <v>46</v>
      </c>
      <c r="C24" s="30">
        <v>52506.5035</v>
      </c>
      <c r="D24" s="30">
        <v>0.0004</v>
      </c>
      <c r="E24">
        <f t="shared" si="0"/>
        <v>2.499935822837105</v>
      </c>
      <c r="F24">
        <f t="shared" si="1"/>
        <v>2.5</v>
      </c>
      <c r="G24">
        <f t="shared" si="2"/>
        <v>-0.0001295000038226135</v>
      </c>
      <c r="I24">
        <f t="shared" si="5"/>
        <v>-0.0001295000038226135</v>
      </c>
      <c r="O24">
        <f t="shared" si="3"/>
        <v>0.00018604893664328742</v>
      </c>
      <c r="Q24" s="2">
        <f t="shared" si="4"/>
        <v>37488.0035</v>
      </c>
    </row>
    <row r="25" spans="1:17" ht="12.75">
      <c r="A25" s="30" t="s">
        <v>44</v>
      </c>
      <c r="B25" s="31" t="s">
        <v>45</v>
      </c>
      <c r="C25" s="30">
        <v>52507.512</v>
      </c>
      <c r="D25" s="30">
        <v>0.0006</v>
      </c>
      <c r="E25">
        <f t="shared" si="0"/>
        <v>2.999724756793281</v>
      </c>
      <c r="F25">
        <f t="shared" si="1"/>
        <v>3</v>
      </c>
      <c r="G25">
        <f t="shared" si="2"/>
        <v>-0.0005554000017582439</v>
      </c>
      <c r="I25">
        <f t="shared" si="5"/>
        <v>-0.0005554000017582439</v>
      </c>
      <c r="O25">
        <f t="shared" si="3"/>
        <v>0.00018630563413292125</v>
      </c>
      <c r="Q25" s="2">
        <f t="shared" si="4"/>
        <v>37489.012</v>
      </c>
    </row>
    <row r="26" spans="1:17" ht="12.75">
      <c r="A26" s="32" t="s">
        <v>49</v>
      </c>
      <c r="B26" s="32"/>
      <c r="C26" s="33">
        <v>55430.3734</v>
      </c>
      <c r="D26" s="33">
        <v>0.0025</v>
      </c>
      <c r="E26">
        <f t="shared" si="0"/>
        <v>1451.5012450369222</v>
      </c>
      <c r="F26">
        <f t="shared" si="1"/>
        <v>1451.5</v>
      </c>
      <c r="G26">
        <f t="shared" si="2"/>
        <v>0.0025122999941231683</v>
      </c>
      <c r="I26">
        <f t="shared" si="5"/>
        <v>0.0025122999941231683</v>
      </c>
      <c r="O26">
        <f t="shared" si="3"/>
        <v>0.0009299582616021308</v>
      </c>
      <c r="Q26" s="2">
        <f t="shared" si="4"/>
        <v>40411.8734</v>
      </c>
    </row>
    <row r="27" spans="1:17" ht="12.75">
      <c r="A27" s="30" t="s">
        <v>47</v>
      </c>
      <c r="B27" s="31" t="s">
        <v>45</v>
      </c>
      <c r="C27" s="30">
        <v>55776.4367</v>
      </c>
      <c r="D27" s="30">
        <v>0.0018</v>
      </c>
      <c r="E27">
        <f t="shared" si="0"/>
        <v>1623.0020955949274</v>
      </c>
      <c r="F27">
        <f t="shared" si="1"/>
        <v>1623</v>
      </c>
      <c r="G27">
        <f t="shared" si="2"/>
        <v>0.004228599995258264</v>
      </c>
      <c r="I27">
        <f t="shared" si="5"/>
        <v>0.004228599995258264</v>
      </c>
      <c r="O27">
        <f t="shared" si="3"/>
        <v>0.001018005500546535</v>
      </c>
      <c r="Q27" s="2">
        <f t="shared" si="4"/>
        <v>40757.9367</v>
      </c>
    </row>
    <row r="28" spans="1:17" ht="12.75">
      <c r="A28" s="34" t="s">
        <v>50</v>
      </c>
      <c r="B28" s="35" t="s">
        <v>45</v>
      </c>
      <c r="C28" s="34">
        <v>56795.4455</v>
      </c>
      <c r="D28" s="34">
        <v>0.0004</v>
      </c>
      <c r="E28">
        <f t="shared" si="0"/>
        <v>2127.998944223753</v>
      </c>
      <c r="F28">
        <f t="shared" si="1"/>
        <v>2128</v>
      </c>
      <c r="G28">
        <f t="shared" si="2"/>
        <v>-0.0021304000038071536</v>
      </c>
      <c r="I28">
        <f t="shared" si="5"/>
        <v>-0.0021304000038071536</v>
      </c>
      <c r="O28">
        <f t="shared" si="3"/>
        <v>0.0012772699650767047</v>
      </c>
      <c r="Q28" s="2">
        <f t="shared" si="4"/>
        <v>41776.9455</v>
      </c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6"/>
  <sheetViews>
    <sheetView zoomScalePageLayoutView="0" workbookViewId="0" topLeftCell="A1">
      <selection activeCell="A11" sqref="A11:C11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6" t="s">
        <v>51</v>
      </c>
      <c r="I1" s="37" t="s">
        <v>52</v>
      </c>
      <c r="J1" s="38" t="s">
        <v>53</v>
      </c>
    </row>
    <row r="2" spans="9:10" ht="12.75">
      <c r="I2" s="39" t="s">
        <v>54</v>
      </c>
      <c r="J2" s="40" t="s">
        <v>55</v>
      </c>
    </row>
    <row r="3" spans="1:10" ht="12.75">
      <c r="A3" s="41" t="s">
        <v>56</v>
      </c>
      <c r="I3" s="39" t="s">
        <v>57</v>
      </c>
      <c r="J3" s="40" t="s">
        <v>58</v>
      </c>
    </row>
    <row r="4" spans="9:10" ht="12.75">
      <c r="I4" s="39" t="s">
        <v>59</v>
      </c>
      <c r="J4" s="40" t="s">
        <v>58</v>
      </c>
    </row>
    <row r="5" spans="9:10" ht="13.5" thickBot="1">
      <c r="I5" s="42" t="s">
        <v>60</v>
      </c>
      <c r="J5" s="43" t="s">
        <v>61</v>
      </c>
    </row>
    <row r="10" ht="13.5" thickBot="1"/>
    <row r="11" spans="1:16" ht="12.75" customHeight="1" thickBot="1">
      <c r="A11" s="10" t="str">
        <f aca="true" t="shared" si="0" ref="A11:A17">P11</f>
        <v> BBS 120 </v>
      </c>
      <c r="B11" s="3" t="str">
        <f aca="true" t="shared" si="1" ref="B11:B17">IF(H11=INT(H11),"I","II")</f>
        <v>I</v>
      </c>
      <c r="C11" s="10">
        <f aca="true" t="shared" si="2" ref="C11:C17">1*G11</f>
        <v>51362.382</v>
      </c>
      <c r="D11" s="12" t="str">
        <f aca="true" t="shared" si="3" ref="D11:D17">VLOOKUP(F11,I$1:J$5,2,FALSE)</f>
        <v>vis</v>
      </c>
      <c r="E11" s="44">
        <f>VLOOKUP(C11,A!C$21:E$973,3,FALSE)</f>
        <v>-564.4998309588468</v>
      </c>
      <c r="F11" s="3" t="s">
        <v>60</v>
      </c>
      <c r="G11" s="12" t="str">
        <f aca="true" t="shared" si="4" ref="G11:G17">MID(I11,3,LEN(I11)-3)</f>
        <v>51362.382</v>
      </c>
      <c r="H11" s="10">
        <f aca="true" t="shared" si="5" ref="H11:H17">1*K11</f>
        <v>16586</v>
      </c>
      <c r="I11" s="45" t="s">
        <v>62</v>
      </c>
      <c r="J11" s="46" t="s">
        <v>63</v>
      </c>
      <c r="K11" s="45">
        <v>16586</v>
      </c>
      <c r="L11" s="45" t="s">
        <v>64</v>
      </c>
      <c r="M11" s="46" t="s">
        <v>65</v>
      </c>
      <c r="N11" s="46" t="s">
        <v>66</v>
      </c>
      <c r="O11" s="47" t="s">
        <v>67</v>
      </c>
      <c r="P11" s="47" t="s">
        <v>68</v>
      </c>
    </row>
    <row r="12" spans="1:16" ht="12.75" customHeight="1" thickBot="1">
      <c r="A12" s="10" t="str">
        <f t="shared" si="0"/>
        <v>IBVS 5353 </v>
      </c>
      <c r="B12" s="3" t="str">
        <f t="shared" si="1"/>
        <v>I</v>
      </c>
      <c r="C12" s="10">
        <f t="shared" si="2"/>
        <v>52505.4943</v>
      </c>
      <c r="D12" s="12" t="str">
        <f t="shared" si="3"/>
        <v>vis</v>
      </c>
      <c r="E12" s="44">
        <f>VLOOKUP(C12,A!C$21:E$973,3,FALSE)</f>
        <v>1.9997999853090866</v>
      </c>
      <c r="F12" s="3" t="s">
        <v>60</v>
      </c>
      <c r="G12" s="12" t="str">
        <f t="shared" si="4"/>
        <v>52505.4943</v>
      </c>
      <c r="H12" s="10">
        <f t="shared" si="5"/>
        <v>17719</v>
      </c>
      <c r="I12" s="45" t="s">
        <v>69</v>
      </c>
      <c r="J12" s="46" t="s">
        <v>70</v>
      </c>
      <c r="K12" s="45">
        <v>17719</v>
      </c>
      <c r="L12" s="45" t="s">
        <v>71</v>
      </c>
      <c r="M12" s="46" t="s">
        <v>65</v>
      </c>
      <c r="N12" s="46" t="s">
        <v>66</v>
      </c>
      <c r="O12" s="47" t="s">
        <v>72</v>
      </c>
      <c r="P12" s="48" t="s">
        <v>73</v>
      </c>
    </row>
    <row r="13" spans="1:16" ht="12.75" customHeight="1" thickBot="1">
      <c r="A13" s="10" t="str">
        <f t="shared" si="0"/>
        <v>IBVS 5353 </v>
      </c>
      <c r="B13" s="3" t="str">
        <f t="shared" si="1"/>
        <v>I</v>
      </c>
      <c r="C13" s="10">
        <f t="shared" si="2"/>
        <v>52506.5035</v>
      </c>
      <c r="D13" s="12" t="str">
        <f t="shared" si="3"/>
        <v>vis</v>
      </c>
      <c r="E13" s="44">
        <f>VLOOKUP(C13,A!C$21:E$973,3,FALSE)</f>
        <v>2.499935822837105</v>
      </c>
      <c r="F13" s="3" t="s">
        <v>60</v>
      </c>
      <c r="G13" s="12" t="str">
        <f t="shared" si="4"/>
        <v>52506.5035</v>
      </c>
      <c r="H13" s="10">
        <f t="shared" si="5"/>
        <v>17720</v>
      </c>
      <c r="I13" s="45" t="s">
        <v>74</v>
      </c>
      <c r="J13" s="46" t="s">
        <v>75</v>
      </c>
      <c r="K13" s="45">
        <v>17720</v>
      </c>
      <c r="L13" s="45" t="s">
        <v>76</v>
      </c>
      <c r="M13" s="46" t="s">
        <v>65</v>
      </c>
      <c r="N13" s="46" t="s">
        <v>66</v>
      </c>
      <c r="O13" s="47" t="s">
        <v>72</v>
      </c>
      <c r="P13" s="48" t="s">
        <v>73</v>
      </c>
    </row>
    <row r="14" spans="1:16" ht="12.75" customHeight="1" thickBot="1">
      <c r="A14" s="10" t="str">
        <f t="shared" si="0"/>
        <v>IBVS 5353 </v>
      </c>
      <c r="B14" s="3" t="str">
        <f t="shared" si="1"/>
        <v>I</v>
      </c>
      <c r="C14" s="10">
        <f t="shared" si="2"/>
        <v>52507.512</v>
      </c>
      <c r="D14" s="12" t="str">
        <f t="shared" si="3"/>
        <v>vis</v>
      </c>
      <c r="E14" s="44">
        <f>VLOOKUP(C14,A!C$21:E$973,3,FALSE)</f>
        <v>2.999724756793281</v>
      </c>
      <c r="F14" s="3" t="s">
        <v>60</v>
      </c>
      <c r="G14" s="12" t="str">
        <f t="shared" si="4"/>
        <v>52507.5120</v>
      </c>
      <c r="H14" s="10">
        <f t="shared" si="5"/>
        <v>17721</v>
      </c>
      <c r="I14" s="45" t="s">
        <v>77</v>
      </c>
      <c r="J14" s="46" t="s">
        <v>78</v>
      </c>
      <c r="K14" s="45">
        <v>17721</v>
      </c>
      <c r="L14" s="45" t="s">
        <v>79</v>
      </c>
      <c r="M14" s="46" t="s">
        <v>65</v>
      </c>
      <c r="N14" s="46" t="s">
        <v>66</v>
      </c>
      <c r="O14" s="47" t="s">
        <v>72</v>
      </c>
      <c r="P14" s="48" t="s">
        <v>73</v>
      </c>
    </row>
    <row r="15" spans="1:16" ht="12.75" customHeight="1" thickBot="1">
      <c r="A15" s="10" t="str">
        <f t="shared" si="0"/>
        <v>BAVM 215 </v>
      </c>
      <c r="B15" s="3" t="str">
        <f t="shared" si="1"/>
        <v>I</v>
      </c>
      <c r="C15" s="10">
        <f t="shared" si="2"/>
        <v>55430.3734</v>
      </c>
      <c r="D15" s="12" t="str">
        <f t="shared" si="3"/>
        <v>vis</v>
      </c>
      <c r="E15" s="44">
        <f>VLOOKUP(C15,A!C$21:E$973,3,FALSE)</f>
        <v>1451.5012450369222</v>
      </c>
      <c r="F15" s="3" t="s">
        <v>60</v>
      </c>
      <c r="G15" s="12" t="str">
        <f t="shared" si="4"/>
        <v>55430.3734</v>
      </c>
      <c r="H15" s="10">
        <f t="shared" si="5"/>
        <v>20618</v>
      </c>
      <c r="I15" s="45" t="s">
        <v>80</v>
      </c>
      <c r="J15" s="46" t="s">
        <v>81</v>
      </c>
      <c r="K15" s="45">
        <v>20618</v>
      </c>
      <c r="L15" s="45" t="s">
        <v>82</v>
      </c>
      <c r="M15" s="46" t="s">
        <v>83</v>
      </c>
      <c r="N15" s="46" t="s">
        <v>84</v>
      </c>
      <c r="O15" s="47" t="s">
        <v>85</v>
      </c>
      <c r="P15" s="48" t="s">
        <v>86</v>
      </c>
    </row>
    <row r="16" spans="1:16" ht="12.75" customHeight="1" thickBot="1">
      <c r="A16" s="10" t="str">
        <f t="shared" si="0"/>
        <v>BAVM 220 </v>
      </c>
      <c r="B16" s="3" t="str">
        <f t="shared" si="1"/>
        <v>I</v>
      </c>
      <c r="C16" s="10">
        <f t="shared" si="2"/>
        <v>55776.4367</v>
      </c>
      <c r="D16" s="12" t="str">
        <f t="shared" si="3"/>
        <v>vis</v>
      </c>
      <c r="E16" s="44">
        <f>VLOOKUP(C16,A!C$21:E$973,3,FALSE)</f>
        <v>1623.0020955949274</v>
      </c>
      <c r="F16" s="3" t="s">
        <v>60</v>
      </c>
      <c r="G16" s="12" t="str">
        <f t="shared" si="4"/>
        <v>55776.4367</v>
      </c>
      <c r="H16" s="10">
        <f t="shared" si="5"/>
        <v>20961</v>
      </c>
      <c r="I16" s="45" t="s">
        <v>87</v>
      </c>
      <c r="J16" s="46" t="s">
        <v>88</v>
      </c>
      <c r="K16" s="45" t="s">
        <v>89</v>
      </c>
      <c r="L16" s="45" t="s">
        <v>90</v>
      </c>
      <c r="M16" s="46" t="s">
        <v>83</v>
      </c>
      <c r="N16" s="46" t="s">
        <v>84</v>
      </c>
      <c r="O16" s="47" t="s">
        <v>85</v>
      </c>
      <c r="P16" s="48" t="s">
        <v>91</v>
      </c>
    </row>
    <row r="17" spans="1:16" ht="12.75" customHeight="1" thickBot="1">
      <c r="A17" s="10" t="str">
        <f t="shared" si="0"/>
        <v>BAVM 238 </v>
      </c>
      <c r="B17" s="3" t="str">
        <f t="shared" si="1"/>
        <v>I</v>
      </c>
      <c r="C17" s="10">
        <f t="shared" si="2"/>
        <v>56795.4455</v>
      </c>
      <c r="D17" s="12" t="str">
        <f t="shared" si="3"/>
        <v>vis</v>
      </c>
      <c r="E17" s="44">
        <f>VLOOKUP(C17,A!C$21:E$973,3,FALSE)</f>
        <v>2127.998944223753</v>
      </c>
      <c r="F17" s="3" t="s">
        <v>60</v>
      </c>
      <c r="G17" s="12" t="str">
        <f t="shared" si="4"/>
        <v>56795.4455</v>
      </c>
      <c r="H17" s="10">
        <f t="shared" si="5"/>
        <v>21971</v>
      </c>
      <c r="I17" s="45" t="s">
        <v>92</v>
      </c>
      <c r="J17" s="46" t="s">
        <v>93</v>
      </c>
      <c r="K17" s="45" t="s">
        <v>94</v>
      </c>
      <c r="L17" s="45" t="s">
        <v>95</v>
      </c>
      <c r="M17" s="46" t="s">
        <v>83</v>
      </c>
      <c r="N17" s="46" t="s">
        <v>96</v>
      </c>
      <c r="O17" s="47" t="s">
        <v>97</v>
      </c>
      <c r="P17" s="48" t="s">
        <v>98</v>
      </c>
    </row>
    <row r="18" spans="2:6" ht="12.75">
      <c r="B18" s="3"/>
      <c r="E18" s="44"/>
      <c r="F18" s="3"/>
    </row>
    <row r="19" spans="2:6" ht="12.75">
      <c r="B19" s="3"/>
      <c r="E19" s="44"/>
      <c r="F19" s="3"/>
    </row>
    <row r="20" spans="2:6" ht="12.75">
      <c r="B20" s="3"/>
      <c r="E20" s="44"/>
      <c r="F20" s="3"/>
    </row>
    <row r="21" spans="2:6" ht="12.75">
      <c r="B21" s="3"/>
      <c r="E21" s="44"/>
      <c r="F21" s="3"/>
    </row>
    <row r="22" spans="2:6" ht="12.75">
      <c r="B22" s="3"/>
      <c r="E22" s="44"/>
      <c r="F22" s="3"/>
    </row>
    <row r="23" spans="2:6" ht="12.75">
      <c r="B23" s="3"/>
      <c r="E23" s="44"/>
      <c r="F23" s="3"/>
    </row>
    <row r="24" spans="2:6" ht="12.75">
      <c r="B24" s="3"/>
      <c r="E24" s="44"/>
      <c r="F24" s="3"/>
    </row>
    <row r="25" spans="2:6" ht="12.75">
      <c r="B25" s="3"/>
      <c r="E25" s="44"/>
      <c r="F25" s="3"/>
    </row>
    <row r="26" spans="2:6" ht="12.75">
      <c r="B26" s="3"/>
      <c r="E26" s="44"/>
      <c r="F26" s="3"/>
    </row>
    <row r="27" spans="2:6" ht="12.75">
      <c r="B27" s="3"/>
      <c r="E27" s="44"/>
      <c r="F27" s="3"/>
    </row>
    <row r="28" spans="2:6" ht="12.75">
      <c r="B28" s="3"/>
      <c r="E28" s="44"/>
      <c r="F28" s="3"/>
    </row>
    <row r="29" spans="2:6" ht="12.75">
      <c r="B29" s="3"/>
      <c r="E29" s="44"/>
      <c r="F29" s="3"/>
    </row>
    <row r="30" spans="2:6" ht="12.75">
      <c r="B30" s="3"/>
      <c r="E30" s="44"/>
      <c r="F30" s="3"/>
    </row>
    <row r="31" spans="2:6" ht="12.75">
      <c r="B31" s="3"/>
      <c r="E31" s="44"/>
      <c r="F31" s="3"/>
    </row>
    <row r="32" spans="2:6" ht="12.75">
      <c r="B32" s="3"/>
      <c r="E32" s="44"/>
      <c r="F32" s="3"/>
    </row>
    <row r="33" spans="2:6" ht="12.75">
      <c r="B33" s="3"/>
      <c r="E33" s="44"/>
      <c r="F33" s="3"/>
    </row>
    <row r="34" spans="2:6" ht="12.75">
      <c r="B34" s="3"/>
      <c r="E34" s="44"/>
      <c r="F34" s="3"/>
    </row>
    <row r="35" spans="2:6" ht="12.75">
      <c r="B35" s="3"/>
      <c r="E35" s="44"/>
      <c r="F35" s="3"/>
    </row>
    <row r="36" spans="2:6" ht="12.75">
      <c r="B36" s="3"/>
      <c r="E36" s="44"/>
      <c r="F36" s="3"/>
    </row>
    <row r="37" spans="2:6" ht="12.75">
      <c r="B37" s="3"/>
      <c r="E37" s="44"/>
      <c r="F37" s="3"/>
    </row>
    <row r="38" spans="2:6" ht="12.75">
      <c r="B38" s="3"/>
      <c r="E38" s="44"/>
      <c r="F38" s="3"/>
    </row>
    <row r="39" spans="2:6" ht="12.75">
      <c r="B39" s="3"/>
      <c r="E39" s="44"/>
      <c r="F39" s="3"/>
    </row>
    <row r="40" spans="2:6" ht="12.75">
      <c r="B40" s="3"/>
      <c r="E40" s="44"/>
      <c r="F40" s="3"/>
    </row>
    <row r="41" spans="2:6" ht="12.75">
      <c r="B41" s="3"/>
      <c r="E41" s="44"/>
      <c r="F41" s="3"/>
    </row>
    <row r="42" spans="2:6" ht="12.75">
      <c r="B42" s="3"/>
      <c r="E42" s="44"/>
      <c r="F42" s="3"/>
    </row>
    <row r="43" spans="2:6" ht="12.75">
      <c r="B43" s="3"/>
      <c r="E43" s="44"/>
      <c r="F43" s="3"/>
    </row>
    <row r="44" spans="2:6" ht="12.75">
      <c r="B44" s="3"/>
      <c r="E44" s="44"/>
      <c r="F44" s="3"/>
    </row>
    <row r="45" spans="2:6" ht="12.75">
      <c r="B45" s="3"/>
      <c r="E45" s="44"/>
      <c r="F45" s="3"/>
    </row>
    <row r="46" spans="2:6" ht="12.75">
      <c r="B46" s="3"/>
      <c r="E46" s="44"/>
      <c r="F46" s="3"/>
    </row>
    <row r="47" spans="2:6" ht="12.75">
      <c r="B47" s="3"/>
      <c r="E47" s="44"/>
      <c r="F47" s="3"/>
    </row>
    <row r="48" spans="2:6" ht="12.75">
      <c r="B48" s="3"/>
      <c r="E48" s="44"/>
      <c r="F48" s="3"/>
    </row>
    <row r="49" spans="2:6" ht="12.75">
      <c r="B49" s="3"/>
      <c r="E49" s="44"/>
      <c r="F49" s="3"/>
    </row>
    <row r="50" spans="2:6" ht="12.75">
      <c r="B50" s="3"/>
      <c r="E50" s="44"/>
      <c r="F50" s="3"/>
    </row>
    <row r="51" spans="2:6" ht="12.75">
      <c r="B51" s="3"/>
      <c r="E51" s="44"/>
      <c r="F51" s="3"/>
    </row>
    <row r="52" spans="2:6" ht="12.75">
      <c r="B52" s="3"/>
      <c r="E52" s="44"/>
      <c r="F52" s="3"/>
    </row>
    <row r="53" spans="2:6" ht="12.75">
      <c r="B53" s="3"/>
      <c r="E53" s="44"/>
      <c r="F53" s="3"/>
    </row>
    <row r="54" spans="2:6" ht="12.75">
      <c r="B54" s="3"/>
      <c r="E54" s="44"/>
      <c r="F54" s="3"/>
    </row>
    <row r="55" spans="2:6" ht="12.75">
      <c r="B55" s="3"/>
      <c r="E55" s="44"/>
      <c r="F55" s="3"/>
    </row>
    <row r="56" spans="2:6" ht="12.75">
      <c r="B56" s="3"/>
      <c r="E56" s="44"/>
      <c r="F56" s="3"/>
    </row>
    <row r="57" spans="2:6" ht="12.75">
      <c r="B57" s="3"/>
      <c r="E57" s="44"/>
      <c r="F57" s="3"/>
    </row>
    <row r="58" spans="2:6" ht="12.75">
      <c r="B58" s="3"/>
      <c r="E58" s="44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  <row r="845" spans="2:6" ht="12.75">
      <c r="B845" s="3"/>
      <c r="F845" s="3"/>
    </row>
    <row r="846" spans="2:6" ht="12.75">
      <c r="B846" s="3"/>
      <c r="F846" s="3"/>
    </row>
  </sheetData>
  <sheetProtection/>
  <hyperlinks>
    <hyperlink ref="P12" r:id="rId1" display="http://www.konkoly.hu/cgi-bin/IBVS?5353"/>
    <hyperlink ref="P13" r:id="rId2" display="http://www.konkoly.hu/cgi-bin/IBVS?5353"/>
    <hyperlink ref="P14" r:id="rId3" display="http://www.konkoly.hu/cgi-bin/IBVS?5353"/>
    <hyperlink ref="P15" r:id="rId4" display="http://www.bav-astro.de/sfs/BAVM_link.php?BAVMnr=215"/>
    <hyperlink ref="P16" r:id="rId5" display="http://www.bav-astro.de/sfs/BAVM_link.php?BAVMnr=220"/>
    <hyperlink ref="P17" r:id="rId6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2022-11-24T07:37:13Z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