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1905031-B262-4E85-88DF-29AB82699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T35" i="1" s="1"/>
  <c r="Q35" i="1"/>
  <c r="E37" i="1"/>
  <c r="F37" i="1"/>
  <c r="G37" i="1" s="1"/>
  <c r="K37" i="1" s="1"/>
  <c r="Q37" i="1"/>
  <c r="E33" i="1"/>
  <c r="F33" i="1" s="1"/>
  <c r="G33" i="1" s="1"/>
  <c r="K33" i="1" s="1"/>
  <c r="Q33" i="1"/>
  <c r="E34" i="1"/>
  <c r="F34" i="1" s="1"/>
  <c r="G34" i="1" s="1"/>
  <c r="K34" i="1" s="1"/>
  <c r="Q34" i="1"/>
  <c r="Q36" i="1"/>
  <c r="E36" i="1"/>
  <c r="F36" i="1"/>
  <c r="G36" i="1" s="1"/>
  <c r="K36" i="1" s="1"/>
  <c r="E32" i="1"/>
  <c r="F32" i="1" s="1"/>
  <c r="G32" i="1" s="1"/>
  <c r="K32" i="1" s="1"/>
  <c r="E22" i="1"/>
  <c r="E11" i="2" s="1"/>
  <c r="E26" i="1"/>
  <c r="F26" i="1" s="1"/>
  <c r="G26" i="1" s="1"/>
  <c r="K26" i="1" s="1"/>
  <c r="E29" i="1"/>
  <c r="E13" i="2" s="1"/>
  <c r="E21" i="1"/>
  <c r="F21" i="1" s="1"/>
  <c r="G21" i="1" s="1"/>
  <c r="J21" i="1" s="1"/>
  <c r="E23" i="1"/>
  <c r="F23" i="1" s="1"/>
  <c r="G23" i="1" s="1"/>
  <c r="K23" i="1" s="1"/>
  <c r="D9" i="1"/>
  <c r="C9" i="1"/>
  <c r="Q23" i="1"/>
  <c r="Q30" i="1"/>
  <c r="G16" i="2"/>
  <c r="C16" i="2"/>
  <c r="G17" i="2"/>
  <c r="C17" i="2"/>
  <c r="E17" i="2"/>
  <c r="G18" i="2"/>
  <c r="C18" i="2"/>
  <c r="E18" i="2"/>
  <c r="G19" i="2"/>
  <c r="C19" i="2"/>
  <c r="E19" i="2"/>
  <c r="G20" i="2"/>
  <c r="C20" i="2"/>
  <c r="E20" i="2"/>
  <c r="G12" i="2"/>
  <c r="C12" i="2"/>
  <c r="G13" i="2"/>
  <c r="C13" i="2"/>
  <c r="G21" i="2"/>
  <c r="C21" i="2"/>
  <c r="G14" i="2"/>
  <c r="C14" i="2"/>
  <c r="G15" i="2"/>
  <c r="C15" i="2"/>
  <c r="G11" i="2"/>
  <c r="C11" i="2"/>
  <c r="H15" i="2"/>
  <c r="B15" i="2"/>
  <c r="D15" i="2"/>
  <c r="A15" i="2"/>
  <c r="H14" i="2"/>
  <c r="D14" i="2"/>
  <c r="B14" i="2"/>
  <c r="A14" i="2"/>
  <c r="H21" i="2"/>
  <c r="B21" i="2"/>
  <c r="D21" i="2"/>
  <c r="A21" i="2"/>
  <c r="H13" i="2"/>
  <c r="D13" i="2"/>
  <c r="B13" i="2"/>
  <c r="A13" i="2"/>
  <c r="H12" i="2"/>
  <c r="B12" i="2"/>
  <c r="D12" i="2"/>
  <c r="A12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1" i="2"/>
  <c r="B11" i="2"/>
  <c r="D11" i="2"/>
  <c r="A11" i="2"/>
  <c r="Q29" i="1"/>
  <c r="Q31" i="1"/>
  <c r="Q32" i="1"/>
  <c r="Q28" i="1"/>
  <c r="F16" i="1"/>
  <c r="F17" i="1" s="1"/>
  <c r="C17" i="1"/>
  <c r="Q24" i="1"/>
  <c r="Q25" i="1"/>
  <c r="Q26" i="1"/>
  <c r="Q27" i="1"/>
  <c r="Q22" i="1"/>
  <c r="R22" i="1"/>
  <c r="Q21" i="1"/>
  <c r="E12" i="2"/>
  <c r="E30" i="1"/>
  <c r="F30" i="1" s="1"/>
  <c r="G30" i="1" s="1"/>
  <c r="K30" i="1" s="1"/>
  <c r="E24" i="1"/>
  <c r="F24" i="1"/>
  <c r="G24" i="1" s="1"/>
  <c r="K24" i="1" s="1"/>
  <c r="E27" i="1"/>
  <c r="F27" i="1"/>
  <c r="G27" i="1" s="1"/>
  <c r="K27" i="1" s="1"/>
  <c r="E25" i="1"/>
  <c r="F25" i="1" s="1"/>
  <c r="G25" i="1" s="1"/>
  <c r="K25" i="1" s="1"/>
  <c r="E28" i="1"/>
  <c r="F28" i="1"/>
  <c r="G28" i="1" s="1"/>
  <c r="J28" i="1" s="1"/>
  <c r="E31" i="1"/>
  <c r="F31" i="1" s="1"/>
  <c r="G31" i="1" s="1"/>
  <c r="J31" i="1" s="1"/>
  <c r="E21" i="2"/>
  <c r="E15" i="2" l="1"/>
  <c r="E14" i="2"/>
  <c r="E16" i="2"/>
  <c r="F29" i="1"/>
  <c r="G29" i="1" s="1"/>
  <c r="K29" i="1" s="1"/>
  <c r="F22" i="1"/>
  <c r="G22" i="1" s="1"/>
  <c r="C12" i="1"/>
  <c r="C11" i="1"/>
  <c r="O35" i="1" l="1"/>
  <c r="O37" i="1"/>
  <c r="C16" i="1"/>
  <c r="D18" i="1" s="1"/>
  <c r="O32" i="1"/>
  <c r="O27" i="1"/>
  <c r="O36" i="1"/>
  <c r="O31" i="1"/>
  <c r="O26" i="1"/>
  <c r="O23" i="1"/>
  <c r="O30" i="1"/>
  <c r="O25" i="1"/>
  <c r="O34" i="1"/>
  <c r="C15" i="1"/>
  <c r="C18" i="1" s="1"/>
  <c r="O33" i="1"/>
  <c r="O24" i="1"/>
  <c r="O21" i="1"/>
  <c r="O28" i="1"/>
  <c r="O22" i="1"/>
  <c r="O29" i="1"/>
  <c r="J22" i="1"/>
  <c r="F18" i="1" l="1"/>
  <c r="F19" i="1" s="1"/>
</calcChain>
</file>

<file path=xl/sharedStrings.xml><?xml version="1.0" encoding="utf-8"?>
<sst xmlns="http://schemas.openxmlformats.org/spreadsheetml/2006/main" count="186" uniqueCount="123">
  <si>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</si>
  <si>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</si>
  <si>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</si>
  <si>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</si>
  <si>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</si>
  <si>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</si>
  <si>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</si>
  <si>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</si>
  <si>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</si>
  <si>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</si>
  <si>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</si>
  <si>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</si>
  <si>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</si>
  <si>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</si>
  <si>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</si>
  <si>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</si>
  <si>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</si>
  <si>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</si>
  <si>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</si>
  <si>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</si>
  <si>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</si>
  <si>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</si>
  <si>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</si>
  <si>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</si>
  <si>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</si>
  <si>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</si>
  <si>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</si>
  <si>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</si>
  <si>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</si>
  <si>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</si>
  <si>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</si>
  <si>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</si>
  <si>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</si>
  <si>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</si>
  <si>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</si>
  <si>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KP And / GSC 3224-3322</t>
  </si>
  <si>
    <t>Sp:</t>
  </si>
  <si>
    <t>A0</t>
  </si>
  <si>
    <t>EA</t>
  </si>
  <si>
    <t>IBVS 5802</t>
  </si>
  <si>
    <t>OEJV 0137</t>
  </si>
  <si>
    <t>II</t>
  </si>
  <si>
    <t>I</t>
  </si>
  <si>
    <t>Add cycle</t>
  </si>
  <si>
    <t>Old Cycle</t>
  </si>
  <si>
    <t>IBVS 6010</t>
  </si>
  <si>
    <t>IBVS 6042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</si>
  <si>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</si>
  <si>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</si>
  <si>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</si>
  <si>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</si>
  <si>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</si>
  <si>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</si>
  <si>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</si>
  <si>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</si>
  <si>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</si>
  <si>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</si>
  <si>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</si>
  <si>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</si>
  <si>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</si>
  <si>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2454025.5598 </t>
  </si>
  <si>
    <t> 17.10.2006 01:26 </t>
  </si>
  <si>
    <t> 0.0342 </t>
  </si>
  <si>
    <t>C </t>
  </si>
  <si>
    <t>-I</t>
  </si>
  <si>
    <t> K.&amp; M.Rätz </t>
  </si>
  <si>
    <t>BAVM 186 </t>
  </si>
  <si>
    <t>2455082.4143 </t>
  </si>
  <si>
    <t> 07.09.2009 21:56 </t>
  </si>
  <si>
    <t>2614</t>
  </si>
  <si>
    <t> 0.0430 </t>
  </si>
  <si>
    <t> P.Frank </t>
  </si>
  <si>
    <t>BAVM 212 </t>
  </si>
  <si>
    <t>2455084.5244 </t>
  </si>
  <si>
    <t> 10.09.2009 00:35 </t>
  </si>
  <si>
    <t>2615.5</t>
  </si>
  <si>
    <t> 0.0450 </t>
  </si>
  <si>
    <t>R</t>
  </si>
  <si>
    <t> M.Lehky </t>
  </si>
  <si>
    <t>OEJV 0137 </t>
  </si>
  <si>
    <t>2455429.5454 </t>
  </si>
  <si>
    <t> 21.08.2010 01:05 </t>
  </si>
  <si>
    <t>2861</t>
  </si>
  <si>
    <t> 0.0452 </t>
  </si>
  <si>
    <t> L.Šmelcer </t>
  </si>
  <si>
    <t>2455429.5455 </t>
  </si>
  <si>
    <t> 0.0453 </t>
  </si>
  <si>
    <t>2455439.3827 </t>
  </si>
  <si>
    <t> 30.08.2010 21:11 </t>
  </si>
  <si>
    <t>2868</t>
  </si>
  <si>
    <t> 0.0449 </t>
  </si>
  <si>
    <t> F.Marchi </t>
  </si>
  <si>
    <t>2455481.5462 </t>
  </si>
  <si>
    <t> 12.10.2010 01:06 </t>
  </si>
  <si>
    <t>2898</t>
  </si>
  <si>
    <t> 0.0470 </t>
  </si>
  <si>
    <t> M.&amp; K.Rätz </t>
  </si>
  <si>
    <t>BAVM 220 </t>
  </si>
  <si>
    <t>2455817.43346 </t>
  </si>
  <si>
    <t> 12.09.2011 22:24 </t>
  </si>
  <si>
    <t> 0.04840 </t>
  </si>
  <si>
    <t>OEJV 0160 </t>
  </si>
  <si>
    <t>2455838.5170 </t>
  </si>
  <si>
    <t> 04.10.2011 00:24 </t>
  </si>
  <si>
    <t> 0.0512 </t>
  </si>
  <si>
    <t>-U;-I</t>
  </si>
  <si>
    <t>BAVM 225 </t>
  </si>
  <si>
    <t>2456212.3487 </t>
  </si>
  <si>
    <t> 11.10.2012 20:22 </t>
  </si>
  <si>
    <t>3418</t>
  </si>
  <si>
    <t> 0.0519 </t>
  </si>
  <si>
    <t>BAVM 231 </t>
  </si>
  <si>
    <t>2456237.645 </t>
  </si>
  <si>
    <t> 06.11.2012 03:28 </t>
  </si>
  <si>
    <t>3436</t>
  </si>
  <si>
    <t> 0.051 </t>
  </si>
  <si>
    <t> R.Diethelm </t>
  </si>
  <si>
    <t>IBVS 6042 </t>
  </si>
  <si>
    <t>RHN 2021</t>
  </si>
  <si>
    <t>JBAV, 60</t>
  </si>
  <si>
    <t>JAAVSO 51, 134</t>
  </si>
  <si>
    <t>OEJV 226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</si>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</sst>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/>
    <xf numFmtId="0" fontId="21" fillId="0" borderId="0" xfId="0" applyFont="1" applyAlignment="1"/>
    <xf numFmtId="0" fontId="19" fillId="0" borderId="0" xfId="0" applyFont="1" applyAlignment="1">
      <alignment horizontal="left" vertical="center" wrapText="1"/>
    </xf>
    <xf numFmtId="166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65" fontId="19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And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E-460D-90AA-1B81DD81D5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E-460D-90AA-1B81DD81D5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  <c:pt idx="1">
                  <c:v>3.4240000000863802E-2</c:v>
                </c:pt>
                <c:pt idx="7">
                  <c:v>4.6959999999671709E-2</c:v>
                </c:pt>
                <c:pt idx="10">
                  <c:v>5.1860000006854534E-2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4E-460D-90AA-1B81DD81D5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2">
                  <c:v>4.2979999998351559E-2</c:v>
                </c:pt>
                <c:pt idx="3">
                  <c:v>4.5019999997748528E-2</c:v>
                </c:pt>
                <c:pt idx="4">
                  <c:v>4.522999999608146E-2</c:v>
                </c:pt>
                <c:pt idx="5">
                  <c:v>4.5330000000831205E-2</c:v>
                </c:pt>
                <c:pt idx="6">
                  <c:v>4.4950000003154855E-2</c:v>
                </c:pt>
                <c:pt idx="8">
                  <c:v>4.8399999999674037E-2</c:v>
                </c:pt>
                <c:pt idx="9">
                  <c:v>5.1240000000689179E-2</c:v>
                </c:pt>
                <c:pt idx="11">
                  <c:v>5.1319999998668209E-2</c:v>
                </c:pt>
                <c:pt idx="12">
                  <c:v>8.2419999998819549E-2</c:v>
                </c:pt>
                <c:pt idx="13">
                  <c:v>8.7800000001152512E-2</c:v>
                </c:pt>
                <c:pt idx="15">
                  <c:v>8.4340000001247972E-2</c:v>
                </c:pt>
                <c:pt idx="16">
                  <c:v>8.9719999996304978E-2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4E-460D-90AA-1B81DD81D5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4E-460D-90AA-1B81DD81D5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4E-460D-90AA-1B81DD81D5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4E-460D-90AA-1B81DD81D5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5765</c:v>
                </c:pt>
                <c:pt idx="15">
                  <c:v>5772</c:v>
                </c:pt>
                <c:pt idx="16">
                  <c:v>6026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3.336072024226739E-2</c:v>
                </c:pt>
                <c:pt idx="1">
                  <c:v>4.1384620410913966E-2</c:v>
                </c:pt>
                <c:pt idx="2">
                  <c:v>4.4625207374835676E-2</c:v>
                </c:pt>
                <c:pt idx="3">
                  <c:v>4.4631671311598821E-2</c:v>
                </c:pt>
                <c:pt idx="4">
                  <c:v>4.5689602295166346E-2</c:v>
                </c:pt>
                <c:pt idx="5">
                  <c:v>4.5689602295166346E-2</c:v>
                </c:pt>
                <c:pt idx="6">
                  <c:v>4.5719767333394341E-2</c:v>
                </c:pt>
                <c:pt idx="7">
                  <c:v>4.5849046068657175E-2</c:v>
                </c:pt>
                <c:pt idx="8">
                  <c:v>4.6878966659584423E-2</c:v>
                </c:pt>
                <c:pt idx="9">
                  <c:v>4.694360602721584E-2</c:v>
                </c:pt>
                <c:pt idx="10">
                  <c:v>4.8089877479879639E-2</c:v>
                </c:pt>
                <c:pt idx="11">
                  <c:v>4.8167444721037338E-2</c:v>
                </c:pt>
                <c:pt idx="12">
                  <c:v>5.6850666439524369E-2</c:v>
                </c:pt>
                <c:pt idx="13">
                  <c:v>5.7923679942205895E-2</c:v>
                </c:pt>
                <c:pt idx="14">
                  <c:v>5.8203783868608701E-2</c:v>
                </c:pt>
                <c:pt idx="15">
                  <c:v>5.8233948906836697E-2</c:v>
                </c:pt>
                <c:pt idx="16">
                  <c:v>5.9328508865395362E-2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4E-460D-90AA-1B81DD81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584728"/>
        <c:axId val="1"/>
      </c:scatterChart>
      <c:valAx>
        <c:axId val="79758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58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19050</xdr:rowOff>
    </xdr:from>
    <xdr:to>
      <xdr:col>19</xdr:col>
      <xdr:colOff>114300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978F7C-C1DC-1792-98A8-6491A5BAD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6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4.42578125" customWidth="1"/>
    <col min="4" max="4" width="9.42578125" customWidth="1"/>
    <col min="5" max="5" width="10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38</v>
      </c>
      <c r="C2" s="3"/>
      <c r="D2" s="3" t="s">
        <v>36</v>
      </c>
      <c r="E2" t="s">
        <v>37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51408.707999999999</v>
      </c>
      <c r="D4" s="9">
        <v>1.4053800000000001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v>51408.707999999999</v>
      </c>
    </row>
    <row r="8" spans="1:6" x14ac:dyDescent="0.2">
      <c r="A8" t="s">
        <v>3</v>
      </c>
      <c r="C8">
        <v>1.4053800000000001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INTERCEPT(INDIRECT($D$9):G988,INDIRECT($C$9):F988)</f>
        <v>3.336072024226739E-2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SLOPE(INDIRECT($D$9):G988,INDIRECT($C$9):F988)</f>
        <v>4.3092911754278078E-6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(C7+C11)+(C8+C12)*INT(MAX(F21:F3529))</f>
        <v>59877.587208508863</v>
      </c>
      <c r="E15" s="16" t="s">
        <v>43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1.4053843092911755</v>
      </c>
      <c r="E16" s="16" t="s">
        <v>31</v>
      </c>
      <c r="F16" s="17">
        <f ca="1">NOW()+15018.5+$C$5/24</f>
        <v>60318.621776273147</v>
      </c>
    </row>
    <row r="17" spans="1:20" ht="13.5" thickBot="1" x14ac:dyDescent="0.25">
      <c r="A17" s="16" t="s">
        <v>28</v>
      </c>
      <c r="B17" s="12"/>
      <c r="C17" s="12">
        <f>COUNT(C21:C2187)</f>
        <v>17</v>
      </c>
      <c r="E17" s="16" t="s">
        <v>44</v>
      </c>
      <c r="F17" s="17">
        <f ca="1">ROUND(2*(F16-$C$7)/$C$8,0)/2+F15</f>
        <v>6341</v>
      </c>
    </row>
    <row r="18" spans="1:20" ht="14.25" thickTop="1" thickBot="1" x14ac:dyDescent="0.25">
      <c r="A18" s="18" t="s">
        <v>5</v>
      </c>
      <c r="B18" s="12"/>
      <c r="C18" s="21">
        <f ca="1">+C15</f>
        <v>59877.587208508863</v>
      </c>
      <c r="D18" s="22">
        <f ca="1">+C16</f>
        <v>1.4053843092911755</v>
      </c>
      <c r="E18" s="16" t="s">
        <v>32</v>
      </c>
      <c r="F18" s="25">
        <f ca="1">ROUND(2*(F16-$C$15)/$C$16,0)/2+F15</f>
        <v>315</v>
      </c>
    </row>
    <row r="19" spans="1:20" ht="13.5" thickTop="1" x14ac:dyDescent="0.2">
      <c r="E19" s="16" t="s">
        <v>33</v>
      </c>
      <c r="F19" s="20">
        <f ca="1">+$C$15+$C$16*F18-15018.5-$C$5/24</f>
        <v>45302.17909926892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T20" s="55" t="s">
        <v>122</v>
      </c>
    </row>
    <row r="21" spans="1:20" x14ac:dyDescent="0.2">
      <c r="A21" t="s">
        <v>12</v>
      </c>
      <c r="C21" s="10">
        <v>51408.707999999999</v>
      </c>
      <c r="D21" s="10" t="s">
        <v>14</v>
      </c>
      <c r="E21">
        <f t="shared" ref="E21:E37" si="0">+(C21-C$7)/C$8</f>
        <v>0</v>
      </c>
      <c r="F21">
        <f t="shared" ref="F21:F37" si="1">ROUND(2*E21,0)/2</f>
        <v>0</v>
      </c>
      <c r="G21">
        <f t="shared" ref="G21:G37" si="2">+C21-(C$7+F21*C$8)</f>
        <v>0</v>
      </c>
      <c r="J21">
        <f>G21</f>
        <v>0</v>
      </c>
      <c r="O21">
        <f t="shared" ref="O21:O37" ca="1" si="3">+C$11+C$12*$F21</f>
        <v>3.336072024226739E-2</v>
      </c>
      <c r="Q21" s="2">
        <f t="shared" ref="Q21:Q37" si="4">+C21-15018.5</f>
        <v>36390.207999999999</v>
      </c>
    </row>
    <row r="22" spans="1:20" x14ac:dyDescent="0.2">
      <c r="A22" s="31" t="s">
        <v>39</v>
      </c>
      <c r="B22" s="31"/>
      <c r="C22" s="32">
        <v>54025.559800000003</v>
      </c>
      <c r="D22" s="32">
        <v>2.9999999999999997E-4</v>
      </c>
      <c r="E22">
        <f t="shared" si="0"/>
        <v>1862.0243635173433</v>
      </c>
      <c r="F22">
        <f t="shared" si="1"/>
        <v>1862</v>
      </c>
      <c r="G22">
        <f t="shared" si="2"/>
        <v>3.4240000000863802E-2</v>
      </c>
      <c r="J22">
        <f>G22</f>
        <v>3.4240000000863802E-2</v>
      </c>
      <c r="O22">
        <f t="shared" ca="1" si="3"/>
        <v>4.1384620410913966E-2</v>
      </c>
      <c r="Q22" s="2">
        <f t="shared" si="4"/>
        <v>39007.059800000003</v>
      </c>
      <c r="R22" t="str">
        <f>IF(ABS(C22-C21)&lt;0.00001,1,"")</f>
        <v/>
      </c>
    </row>
    <row r="23" spans="1:20" x14ac:dyDescent="0.2">
      <c r="A23" s="25" t="s">
        <v>72</v>
      </c>
      <c r="B23" t="s">
        <v>42</v>
      </c>
      <c r="C23" s="10">
        <v>55082.414299999997</v>
      </c>
      <c r="D23" s="10" t="s">
        <v>59</v>
      </c>
      <c r="E23">
        <f t="shared" si="0"/>
        <v>2614.0305824759125</v>
      </c>
      <c r="F23">
        <f t="shared" si="1"/>
        <v>2614</v>
      </c>
      <c r="G23">
        <f t="shared" si="2"/>
        <v>4.2979999998351559E-2</v>
      </c>
      <c r="K23">
        <f>G23</f>
        <v>4.2979999998351559E-2</v>
      </c>
      <c r="O23">
        <f t="shared" ca="1" si="3"/>
        <v>4.4625207374835676E-2</v>
      </c>
      <c r="Q23" s="2">
        <f t="shared" si="4"/>
        <v>40063.914299999997</v>
      </c>
    </row>
    <row r="24" spans="1:20" x14ac:dyDescent="0.2">
      <c r="A24" s="33" t="s">
        <v>40</v>
      </c>
      <c r="B24" s="34" t="s">
        <v>41</v>
      </c>
      <c r="C24" s="32">
        <v>55084.524409999998</v>
      </c>
      <c r="D24" s="32">
        <v>4.0000000000000002E-4</v>
      </c>
      <c r="E24">
        <f t="shared" si="0"/>
        <v>2615.5320340406147</v>
      </c>
      <c r="F24">
        <f t="shared" si="1"/>
        <v>2615.5</v>
      </c>
      <c r="G24">
        <f t="shared" si="2"/>
        <v>4.5019999997748528E-2</v>
      </c>
      <c r="K24">
        <f>G24</f>
        <v>4.5019999997748528E-2</v>
      </c>
      <c r="O24">
        <f t="shared" ca="1" si="3"/>
        <v>4.4631671311598821E-2</v>
      </c>
      <c r="Q24" s="2">
        <f t="shared" si="4"/>
        <v>40066.024409999998</v>
      </c>
    </row>
    <row r="25" spans="1:20" x14ac:dyDescent="0.2">
      <c r="A25" s="33" t="s">
        <v>40</v>
      </c>
      <c r="B25" s="34" t="s">
        <v>42</v>
      </c>
      <c r="C25" s="32">
        <v>55429.545409999999</v>
      </c>
      <c r="D25" s="32">
        <v>5.9999999999999995E-4</v>
      </c>
      <c r="E25">
        <f t="shared" si="0"/>
        <v>2861.0321834663932</v>
      </c>
      <c r="F25">
        <f t="shared" si="1"/>
        <v>2861</v>
      </c>
      <c r="G25">
        <f t="shared" si="2"/>
        <v>4.522999999608146E-2</v>
      </c>
      <c r="K25">
        <f>G25</f>
        <v>4.522999999608146E-2</v>
      </c>
      <c r="O25">
        <f t="shared" ca="1" si="3"/>
        <v>4.5689602295166346E-2</v>
      </c>
      <c r="Q25" s="2">
        <f t="shared" si="4"/>
        <v>40411.045409999999</v>
      </c>
    </row>
    <row r="26" spans="1:20" x14ac:dyDescent="0.2">
      <c r="A26" s="33" t="s">
        <v>40</v>
      </c>
      <c r="B26" s="34" t="s">
        <v>42</v>
      </c>
      <c r="C26" s="32">
        <v>55429.545510000004</v>
      </c>
      <c r="D26" s="32">
        <v>5.0000000000000001E-4</v>
      </c>
      <c r="E26">
        <f t="shared" si="0"/>
        <v>2861.0322546215293</v>
      </c>
      <c r="F26">
        <f t="shared" si="1"/>
        <v>2861</v>
      </c>
      <c r="G26">
        <f t="shared" si="2"/>
        <v>4.5330000000831205E-2</v>
      </c>
      <c r="K26">
        <f>G26</f>
        <v>4.5330000000831205E-2</v>
      </c>
      <c r="O26">
        <f t="shared" ca="1" si="3"/>
        <v>4.5689602295166346E-2</v>
      </c>
      <c r="Q26" s="2">
        <f t="shared" si="4"/>
        <v>40411.045510000004</v>
      </c>
    </row>
    <row r="27" spans="1:20" x14ac:dyDescent="0.2">
      <c r="A27" s="33" t="s">
        <v>40</v>
      </c>
      <c r="B27" s="34" t="s">
        <v>42</v>
      </c>
      <c r="C27" s="32">
        <v>55439.382790000003</v>
      </c>
      <c r="D27" s="32">
        <v>2.0000000000000001E-4</v>
      </c>
      <c r="E27">
        <f t="shared" si="0"/>
        <v>2868.0319842320259</v>
      </c>
      <c r="F27">
        <f t="shared" si="1"/>
        <v>2868</v>
      </c>
      <c r="G27">
        <f t="shared" si="2"/>
        <v>4.4950000003154855E-2</v>
      </c>
      <c r="K27">
        <f>G27</f>
        <v>4.4950000003154855E-2</v>
      </c>
      <c r="O27">
        <f t="shared" ca="1" si="3"/>
        <v>4.5719767333394341E-2</v>
      </c>
      <c r="Q27" s="2">
        <f t="shared" si="4"/>
        <v>40420.882790000003</v>
      </c>
    </row>
    <row r="28" spans="1:20" x14ac:dyDescent="0.2">
      <c r="A28" s="35" t="s">
        <v>45</v>
      </c>
      <c r="B28" s="36" t="s">
        <v>42</v>
      </c>
      <c r="C28" s="35">
        <v>55481.546199999997</v>
      </c>
      <c r="D28" s="35">
        <v>2.0000000000000001E-4</v>
      </c>
      <c r="E28">
        <f t="shared" si="0"/>
        <v>2898.033414450183</v>
      </c>
      <c r="F28">
        <f t="shared" si="1"/>
        <v>2898</v>
      </c>
      <c r="G28">
        <f t="shared" si="2"/>
        <v>4.6959999999671709E-2</v>
      </c>
      <c r="J28">
        <f>G28</f>
        <v>4.6959999999671709E-2</v>
      </c>
      <c r="O28">
        <f t="shared" ca="1" si="3"/>
        <v>4.5849046068657175E-2</v>
      </c>
      <c r="Q28" s="2">
        <f t="shared" si="4"/>
        <v>40463.046199999997</v>
      </c>
    </row>
    <row r="29" spans="1:20" x14ac:dyDescent="0.2">
      <c r="A29" s="28" t="s">
        <v>47</v>
      </c>
      <c r="B29" s="29" t="s">
        <v>42</v>
      </c>
      <c r="C29" s="30">
        <v>55817.43346</v>
      </c>
      <c r="D29" s="30">
        <v>2.0000000000000001E-4</v>
      </c>
      <c r="E29">
        <f t="shared" si="0"/>
        <v>3137.0344390840919</v>
      </c>
      <c r="F29">
        <f t="shared" si="1"/>
        <v>3137</v>
      </c>
      <c r="G29">
        <f t="shared" si="2"/>
        <v>4.8399999999674037E-2</v>
      </c>
      <c r="K29">
        <f>G29</f>
        <v>4.8399999999674037E-2</v>
      </c>
      <c r="O29">
        <f t="shared" ca="1" si="3"/>
        <v>4.6878966659584423E-2</v>
      </c>
      <c r="Q29" s="2">
        <f t="shared" si="4"/>
        <v>40798.93346</v>
      </c>
    </row>
    <row r="30" spans="1:20" x14ac:dyDescent="0.2">
      <c r="A30" s="25" t="s">
        <v>106</v>
      </c>
      <c r="B30" t="s">
        <v>42</v>
      </c>
      <c r="C30" s="10">
        <v>55838.517</v>
      </c>
      <c r="D30" s="10" t="s">
        <v>59</v>
      </c>
      <c r="E30">
        <f t="shared" si="0"/>
        <v>3152.0364598898523</v>
      </c>
      <c r="F30">
        <f t="shared" si="1"/>
        <v>3152</v>
      </c>
      <c r="G30">
        <f t="shared" si="2"/>
        <v>5.1240000000689179E-2</v>
      </c>
      <c r="K30">
        <f>G30</f>
        <v>5.1240000000689179E-2</v>
      </c>
      <c r="O30">
        <f t="shared" ca="1" si="3"/>
        <v>4.694360602721584E-2</v>
      </c>
      <c r="Q30" s="2">
        <f t="shared" si="4"/>
        <v>40820.017</v>
      </c>
    </row>
    <row r="31" spans="1:20" x14ac:dyDescent="0.2">
      <c r="A31" s="28" t="s">
        <v>48</v>
      </c>
      <c r="B31" s="29" t="s">
        <v>42</v>
      </c>
      <c r="C31" s="30">
        <v>56212.348700000002</v>
      </c>
      <c r="D31" s="30">
        <v>2.9999999999999997E-4</v>
      </c>
      <c r="E31">
        <f t="shared" si="0"/>
        <v>3418.0369010516752</v>
      </c>
      <c r="F31">
        <f t="shared" si="1"/>
        <v>3418</v>
      </c>
      <c r="G31">
        <f t="shared" si="2"/>
        <v>5.1860000006854534E-2</v>
      </c>
      <c r="J31">
        <f>G31</f>
        <v>5.1860000006854534E-2</v>
      </c>
      <c r="O31">
        <f t="shared" ca="1" si="3"/>
        <v>4.8089877479879639E-2</v>
      </c>
      <c r="Q31" s="2">
        <f t="shared" si="4"/>
        <v>41193.848700000002</v>
      </c>
    </row>
    <row r="32" spans="1:20" x14ac:dyDescent="0.2">
      <c r="A32" s="33" t="s">
        <v>46</v>
      </c>
      <c r="B32" s="34" t="s">
        <v>42</v>
      </c>
      <c r="C32" s="32">
        <v>56237.644999999997</v>
      </c>
      <c r="D32" s="32">
        <v>3.0000000000000001E-3</v>
      </c>
      <c r="E32">
        <f t="shared" si="0"/>
        <v>3436.036516813956</v>
      </c>
      <c r="F32">
        <f t="shared" si="1"/>
        <v>3436</v>
      </c>
      <c r="G32">
        <f t="shared" si="2"/>
        <v>5.1319999998668209E-2</v>
      </c>
      <c r="K32">
        <f>G32</f>
        <v>5.1319999998668209E-2</v>
      </c>
      <c r="O32">
        <f t="shared" ca="1" si="3"/>
        <v>4.8167444721037338E-2</v>
      </c>
      <c r="Q32" s="2">
        <f t="shared" si="4"/>
        <v>41219.144999999997</v>
      </c>
    </row>
    <row r="33" spans="1:20" x14ac:dyDescent="0.2">
      <c r="A33" s="50" t="s">
        <v>119</v>
      </c>
      <c r="B33" s="51" t="s">
        <v>42</v>
      </c>
      <c r="C33" s="56">
        <v>59069.516799999998</v>
      </c>
      <c r="D33" s="56">
        <v>1.9E-3</v>
      </c>
      <c r="E33">
        <f t="shared" si="0"/>
        <v>5451.0586460601389</v>
      </c>
      <c r="F33">
        <f t="shared" si="1"/>
        <v>5451</v>
      </c>
      <c r="G33">
        <f t="shared" si="2"/>
        <v>8.2419999998819549E-2</v>
      </c>
      <c r="K33">
        <f>G33</f>
        <v>8.2419999998819549E-2</v>
      </c>
      <c r="O33">
        <f t="shared" ca="1" si="3"/>
        <v>5.6850666439524369E-2</v>
      </c>
      <c r="Q33" s="2">
        <f t="shared" si="4"/>
        <v>44051.016799999998</v>
      </c>
    </row>
    <row r="34" spans="1:20" ht="12" customHeight="1" x14ac:dyDescent="0.2">
      <c r="A34" s="50" t="s">
        <v>119</v>
      </c>
      <c r="B34" s="51" t="s">
        <v>42</v>
      </c>
      <c r="C34" s="56">
        <v>59419.461799999997</v>
      </c>
      <c r="D34" s="56">
        <v>2.3E-3</v>
      </c>
      <c r="E34">
        <f t="shared" si="0"/>
        <v>5700.0624742062628</v>
      </c>
      <c r="F34">
        <f t="shared" si="1"/>
        <v>5700</v>
      </c>
      <c r="G34">
        <f t="shared" si="2"/>
        <v>8.7800000001152512E-2</v>
      </c>
      <c r="K34">
        <f>G34</f>
        <v>8.7800000001152512E-2</v>
      </c>
      <c r="O34">
        <f t="shared" ca="1" si="3"/>
        <v>5.7923679942205895E-2</v>
      </c>
      <c r="Q34" s="2">
        <f t="shared" si="4"/>
        <v>44400.961799999997</v>
      </c>
    </row>
    <row r="35" spans="1:20" ht="12" customHeight="1" x14ac:dyDescent="0.25">
      <c r="A35" s="53" t="s">
        <v>121</v>
      </c>
      <c r="B35" s="54" t="s">
        <v>42</v>
      </c>
      <c r="C35" s="57">
        <v>59510.666100000002</v>
      </c>
      <c r="D35" s="58">
        <v>5.9999999999999995E-4</v>
      </c>
      <c r="E35">
        <f t="shared" si="0"/>
        <v>5764.9590146437286</v>
      </c>
      <c r="F35">
        <f t="shared" si="1"/>
        <v>5765</v>
      </c>
      <c r="G35">
        <f t="shared" si="2"/>
        <v>-5.7600000000093132E-2</v>
      </c>
      <c r="O35">
        <f t="shared" ca="1" si="3"/>
        <v>5.8203783868608701E-2</v>
      </c>
      <c r="Q35" s="2">
        <f t="shared" si="4"/>
        <v>44492.166100000002</v>
      </c>
      <c r="T35">
        <f>G35</f>
        <v>-5.7600000000093132E-2</v>
      </c>
    </row>
    <row r="36" spans="1:20" ht="12" customHeight="1" x14ac:dyDescent="0.2">
      <c r="A36" t="s">
        <v>118</v>
      </c>
      <c r="C36" s="10">
        <v>59520.645700000001</v>
      </c>
      <c r="D36" s="10">
        <v>2.9999999999999997E-4</v>
      </c>
      <c r="E36">
        <f t="shared" si="0"/>
        <v>5772.0600122386841</v>
      </c>
      <c r="F36">
        <f t="shared" si="1"/>
        <v>5772</v>
      </c>
      <c r="G36">
        <f t="shared" si="2"/>
        <v>8.4340000001247972E-2</v>
      </c>
      <c r="K36">
        <f>G36</f>
        <v>8.4340000001247972E-2</v>
      </c>
      <c r="O36">
        <f t="shared" ca="1" si="3"/>
        <v>5.8233948906836697E-2</v>
      </c>
      <c r="Q36" s="2">
        <f t="shared" si="4"/>
        <v>44502.145700000001</v>
      </c>
    </row>
    <row r="37" spans="1:20" ht="12" customHeight="1" x14ac:dyDescent="0.2">
      <c r="A37" s="53" t="s">
        <v>120</v>
      </c>
      <c r="B37" s="52" t="s">
        <v>42</v>
      </c>
      <c r="C37" s="59">
        <v>59877.617599999998</v>
      </c>
      <c r="D37" s="56">
        <v>5.9999999999999995E-4</v>
      </c>
      <c r="E37">
        <f t="shared" si="0"/>
        <v>6026.0638403848061</v>
      </c>
      <c r="F37">
        <f t="shared" si="1"/>
        <v>6026</v>
      </c>
      <c r="G37">
        <f t="shared" si="2"/>
        <v>8.9719999996304978E-2</v>
      </c>
      <c r="K37">
        <f>G37</f>
        <v>8.9719999996304978E-2</v>
      </c>
      <c r="O37">
        <f t="shared" ca="1" si="3"/>
        <v>5.9328508865395362E-2</v>
      </c>
      <c r="Q37" s="2">
        <f t="shared" si="4"/>
        <v>44859.117599999998</v>
      </c>
    </row>
    <row r="38" spans="1:20" x14ac:dyDescent="0.2">
      <c r="C38" s="10"/>
      <c r="D38" s="10"/>
    </row>
    <row r="39" spans="1:20" x14ac:dyDescent="0.2">
      <c r="C39" s="10"/>
      <c r="D39" s="10"/>
    </row>
    <row r="40" spans="1:20" x14ac:dyDescent="0.2">
      <c r="C40" s="10"/>
      <c r="D40" s="10"/>
    </row>
    <row r="41" spans="1:20" x14ac:dyDescent="0.2">
      <c r="C41" s="10"/>
      <c r="D41" s="10"/>
    </row>
    <row r="42" spans="1:20" x14ac:dyDescent="0.2">
      <c r="C42" s="10"/>
      <c r="D42" s="10"/>
    </row>
    <row r="43" spans="1:20" x14ac:dyDescent="0.2">
      <c r="C43" s="10"/>
      <c r="D43" s="10"/>
    </row>
    <row r="44" spans="1:20" x14ac:dyDescent="0.2">
      <c r="C44" s="10"/>
      <c r="D44" s="10"/>
    </row>
    <row r="45" spans="1:20" x14ac:dyDescent="0.2">
      <c r="C45" s="10"/>
      <c r="D45" s="10"/>
    </row>
    <row r="46" spans="1:20" x14ac:dyDescent="0.2">
      <c r="C46" s="10"/>
      <c r="D46" s="10"/>
    </row>
    <row r="47" spans="1:20" x14ac:dyDescent="0.2">
      <c r="C47" s="10"/>
      <c r="D47" s="10"/>
    </row>
    <row r="48" spans="1:20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sortState xmlns:xlrd2="http://schemas.microsoft.com/office/spreadsheetml/2017/richdata2" ref="A21:R44">
    <sortCondition ref="C21:C4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6" sqref="A16:D21"/>
    </sheetView>
  </sheetViews>
  <sheetFormatPr defaultRowHeight="12.75" x14ac:dyDescent="0.2"/>
  <cols>
    <col min="1" max="1" width="16.28515625" style="10" customWidth="1"/>
    <col min="2" max="2" width="4.42578125" style="12" customWidth="1"/>
    <col min="3" max="3" width="12.7109375" style="10" customWidth="1"/>
    <col min="4" max="4" width="3.5703125" style="12" customWidth="1"/>
    <col min="5" max="5" width="12.42578125" style="12" customWidth="1"/>
    <col min="6" max="6" width="5.42578125" style="12" customWidth="1"/>
    <col min="7" max="7" width="12" style="12" customWidth="1"/>
    <col min="8" max="8" width="7.28515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49</v>
      </c>
      <c r="I1" s="38" t="s">
        <v>50</v>
      </c>
      <c r="J1" s="39" t="s">
        <v>51</v>
      </c>
    </row>
    <row r="2" spans="1:16" x14ac:dyDescent="0.2">
      <c r="I2" s="40" t="s">
        <v>52</v>
      </c>
      <c r="J2" s="41" t="s">
        <v>53</v>
      </c>
    </row>
    <row r="3" spans="1:16" x14ac:dyDescent="0.2">
      <c r="A3" s="42" t="s">
        <v>54</v>
      </c>
      <c r="I3" s="40" t="s">
        <v>55</v>
      </c>
      <c r="J3" s="41" t="s">
        <v>56</v>
      </c>
    </row>
    <row r="4" spans="1:16" x14ac:dyDescent="0.2">
      <c r="I4" s="40" t="s">
        <v>57</v>
      </c>
      <c r="J4" s="41" t="s">
        <v>56</v>
      </c>
    </row>
    <row r="5" spans="1:16" ht="13.5" thickBot="1" x14ac:dyDescent="0.25">
      <c r="I5" s="43" t="s">
        <v>58</v>
      </c>
      <c r="J5" s="44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1" si="0">P11</f>
        <v>BAVM 186 </v>
      </c>
      <c r="B11" s="3" t="str">
        <f t="shared" ref="B11:B21" si="1">IF(H11=INT(H11),"I","II")</f>
        <v>I</v>
      </c>
      <c r="C11" s="10">
        <f t="shared" ref="C11:C21" si="2">1*G11</f>
        <v>54025.559800000003</v>
      </c>
      <c r="D11" s="12" t="str">
        <f t="shared" ref="D11:D21" si="3">VLOOKUP(F11,I$1:J$5,2,FALSE)</f>
        <v>vis</v>
      </c>
      <c r="E11" s="45">
        <f>VLOOKUP(C11,Active!C$21:E$969,3,FALSE)</f>
        <v>1862.0243635173433</v>
      </c>
      <c r="F11" s="3" t="s">
        <v>58</v>
      </c>
      <c r="G11" s="12" t="str">
        <f t="shared" ref="G11:G21" si="4">MID(I11,3,LEN(I11)-3)</f>
        <v>54025.5598</v>
      </c>
      <c r="H11" s="10">
        <f t="shared" ref="H11:H21" si="5">1*K11</f>
        <v>1862</v>
      </c>
      <c r="I11" s="46" t="s">
        <v>60</v>
      </c>
      <c r="J11" s="47" t="s">
        <v>61</v>
      </c>
      <c r="K11" s="46">
        <v>1862</v>
      </c>
      <c r="L11" s="46" t="s">
        <v>62</v>
      </c>
      <c r="M11" s="47" t="s">
        <v>63</v>
      </c>
      <c r="N11" s="47" t="s">
        <v>64</v>
      </c>
      <c r="O11" s="48" t="s">
        <v>65</v>
      </c>
      <c r="P11" s="49" t="s">
        <v>66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</v>
      </c>
      <c r="C12" s="10">
        <f t="shared" si="2"/>
        <v>55481.546199999997</v>
      </c>
      <c r="D12" s="12" t="str">
        <f t="shared" si="3"/>
        <v>vis</v>
      </c>
      <c r="E12" s="45">
        <f>VLOOKUP(C12,Active!C$21:E$969,3,FALSE)</f>
        <v>2898.033414450183</v>
      </c>
      <c r="F12" s="3" t="s">
        <v>58</v>
      </c>
      <c r="G12" s="12" t="str">
        <f t="shared" si="4"/>
        <v>55481.5462</v>
      </c>
      <c r="H12" s="10">
        <f t="shared" si="5"/>
        <v>2898</v>
      </c>
      <c r="I12" s="46" t="s">
        <v>92</v>
      </c>
      <c r="J12" s="47" t="s">
        <v>93</v>
      </c>
      <c r="K12" s="46" t="s">
        <v>94</v>
      </c>
      <c r="L12" s="46" t="s">
        <v>95</v>
      </c>
      <c r="M12" s="47" t="s">
        <v>63</v>
      </c>
      <c r="N12" s="47">
        <v>0</v>
      </c>
      <c r="O12" s="48" t="s">
        <v>96</v>
      </c>
      <c r="P12" s="49" t="s">
        <v>97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55817.43346</v>
      </c>
      <c r="D13" s="12" t="str">
        <f t="shared" si="3"/>
        <v>vis</v>
      </c>
      <c r="E13" s="45">
        <f>VLOOKUP(C13,Active!C$21:E$969,3,FALSE)</f>
        <v>3137.0344390840919</v>
      </c>
      <c r="F13" s="3" t="s">
        <v>58</v>
      </c>
      <c r="G13" s="12" t="str">
        <f t="shared" si="4"/>
        <v>55817.43346</v>
      </c>
      <c r="H13" s="10">
        <f t="shared" si="5"/>
        <v>3137</v>
      </c>
      <c r="I13" s="46" t="s">
        <v>98</v>
      </c>
      <c r="J13" s="47" t="s">
        <v>99</v>
      </c>
      <c r="K13" s="46">
        <v>3137</v>
      </c>
      <c r="L13" s="46" t="s">
        <v>100</v>
      </c>
      <c r="M13" s="47" t="s">
        <v>63</v>
      </c>
      <c r="N13" s="47" t="s">
        <v>50</v>
      </c>
      <c r="O13" s="48" t="s">
        <v>84</v>
      </c>
      <c r="P13" s="49" t="s">
        <v>101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56212.348700000002</v>
      </c>
      <c r="D14" s="12" t="str">
        <f t="shared" si="3"/>
        <v>vis</v>
      </c>
      <c r="E14" s="45">
        <f>VLOOKUP(C14,Active!C$21:E$969,3,FALSE)</f>
        <v>3418.0369010516752</v>
      </c>
      <c r="F14" s="3" t="s">
        <v>58</v>
      </c>
      <c r="G14" s="12" t="str">
        <f t="shared" si="4"/>
        <v>56212.3487</v>
      </c>
      <c r="H14" s="10">
        <f t="shared" si="5"/>
        <v>3418</v>
      </c>
      <c r="I14" s="46" t="s">
        <v>107</v>
      </c>
      <c r="J14" s="47" t="s">
        <v>108</v>
      </c>
      <c r="K14" s="46" t="s">
        <v>109</v>
      </c>
      <c r="L14" s="46" t="s">
        <v>110</v>
      </c>
      <c r="M14" s="47" t="s">
        <v>63</v>
      </c>
      <c r="N14" s="47" t="s">
        <v>77</v>
      </c>
      <c r="O14" s="48" t="s">
        <v>96</v>
      </c>
      <c r="P14" s="49" t="s">
        <v>111</v>
      </c>
    </row>
    <row r="15" spans="1:16" ht="12.75" customHeight="1" thickBot="1" x14ac:dyDescent="0.25">
      <c r="A15" s="10" t="str">
        <f t="shared" si="0"/>
        <v>IBVS 6042 </v>
      </c>
      <c r="B15" s="3" t="str">
        <f t="shared" si="1"/>
        <v>I</v>
      </c>
      <c r="C15" s="10">
        <f t="shared" si="2"/>
        <v>56237.644999999997</v>
      </c>
      <c r="D15" s="12" t="str">
        <f t="shared" si="3"/>
        <v>vis</v>
      </c>
      <c r="E15" s="45">
        <f>VLOOKUP(C15,Active!C$21:E$969,3,FALSE)</f>
        <v>3436.036516813956</v>
      </c>
      <c r="F15" s="3" t="s">
        <v>58</v>
      </c>
      <c r="G15" s="12" t="str">
        <f t="shared" si="4"/>
        <v>56237.645</v>
      </c>
      <c r="H15" s="10">
        <f t="shared" si="5"/>
        <v>3436</v>
      </c>
      <c r="I15" s="46" t="s">
        <v>112</v>
      </c>
      <c r="J15" s="47" t="s">
        <v>113</v>
      </c>
      <c r="K15" s="46" t="s">
        <v>114</v>
      </c>
      <c r="L15" s="46" t="s">
        <v>115</v>
      </c>
      <c r="M15" s="47" t="s">
        <v>63</v>
      </c>
      <c r="N15" s="47" t="s">
        <v>58</v>
      </c>
      <c r="O15" s="48" t="s">
        <v>116</v>
      </c>
      <c r="P15" s="49" t="s">
        <v>117</v>
      </c>
    </row>
    <row r="16" spans="1:16" ht="12.75" customHeight="1" thickBot="1" x14ac:dyDescent="0.25">
      <c r="A16" s="10" t="str">
        <f t="shared" si="0"/>
        <v>BAVM 212 </v>
      </c>
      <c r="B16" s="3" t="str">
        <f t="shared" si="1"/>
        <v>I</v>
      </c>
      <c r="C16" s="10">
        <f t="shared" si="2"/>
        <v>55082.414299999997</v>
      </c>
      <c r="D16" s="12" t="str">
        <f t="shared" si="3"/>
        <v>vis</v>
      </c>
      <c r="E16" s="45">
        <f>VLOOKUP(C16,Active!C$21:E$969,3,FALSE)</f>
        <v>2614.0305824759125</v>
      </c>
      <c r="F16" s="3" t="s">
        <v>58</v>
      </c>
      <c r="G16" s="12" t="str">
        <f t="shared" si="4"/>
        <v>55082.4143</v>
      </c>
      <c r="H16" s="10">
        <f t="shared" si="5"/>
        <v>2614</v>
      </c>
      <c r="I16" s="46" t="s">
        <v>67</v>
      </c>
      <c r="J16" s="47" t="s">
        <v>68</v>
      </c>
      <c r="K16" s="46" t="s">
        <v>69</v>
      </c>
      <c r="L16" s="46" t="s">
        <v>70</v>
      </c>
      <c r="M16" s="47" t="s">
        <v>63</v>
      </c>
      <c r="N16" s="47" t="s">
        <v>64</v>
      </c>
      <c r="O16" s="48" t="s">
        <v>71</v>
      </c>
      <c r="P16" s="49" t="s">
        <v>72</v>
      </c>
    </row>
    <row r="17" spans="1:16" ht="12.75" customHeight="1" thickBot="1" x14ac:dyDescent="0.25">
      <c r="A17" s="10" t="str">
        <f t="shared" si="0"/>
        <v>OEJV 0137 </v>
      </c>
      <c r="B17" s="3" t="str">
        <f t="shared" si="1"/>
        <v>II</v>
      </c>
      <c r="C17" s="10">
        <f t="shared" si="2"/>
        <v>55084.524400000002</v>
      </c>
      <c r="D17" s="12" t="str">
        <f t="shared" si="3"/>
        <v>vis</v>
      </c>
      <c r="E17" s="45" t="e">
        <f>VLOOKUP(C17,Active!C$21:E$969,3,FALSE)</f>
        <v>#N/A</v>
      </c>
      <c r="F17" s="3" t="s">
        <v>58</v>
      </c>
      <c r="G17" s="12" t="str">
        <f t="shared" si="4"/>
        <v>55084.5244</v>
      </c>
      <c r="H17" s="10">
        <f t="shared" si="5"/>
        <v>2615.5</v>
      </c>
      <c r="I17" s="46" t="s">
        <v>73</v>
      </c>
      <c r="J17" s="47" t="s">
        <v>74</v>
      </c>
      <c r="K17" s="46" t="s">
        <v>75</v>
      </c>
      <c r="L17" s="46" t="s">
        <v>76</v>
      </c>
      <c r="M17" s="47" t="s">
        <v>63</v>
      </c>
      <c r="N17" s="47" t="s">
        <v>77</v>
      </c>
      <c r="O17" s="48" t="s">
        <v>78</v>
      </c>
      <c r="P17" s="49" t="s">
        <v>79</v>
      </c>
    </row>
    <row r="18" spans="1:16" ht="12.75" customHeight="1" thickBot="1" x14ac:dyDescent="0.25">
      <c r="A18" s="10" t="str">
        <f t="shared" si="0"/>
        <v>OEJV 0137 </v>
      </c>
      <c r="B18" s="3" t="str">
        <f t="shared" si="1"/>
        <v>I</v>
      </c>
      <c r="C18" s="10">
        <f t="shared" si="2"/>
        <v>55429.545400000003</v>
      </c>
      <c r="D18" s="12" t="str">
        <f t="shared" si="3"/>
        <v>vis</v>
      </c>
      <c r="E18" s="45" t="e">
        <f>VLOOKUP(C18,Active!C$21:E$969,3,FALSE)</f>
        <v>#N/A</v>
      </c>
      <c r="F18" s="3" t="s">
        <v>58</v>
      </c>
      <c r="G18" s="12" t="str">
        <f t="shared" si="4"/>
        <v>55429.5454</v>
      </c>
      <c r="H18" s="10">
        <f t="shared" si="5"/>
        <v>2861</v>
      </c>
      <c r="I18" s="46" t="s">
        <v>80</v>
      </c>
      <c r="J18" s="47" t="s">
        <v>81</v>
      </c>
      <c r="K18" s="46" t="s">
        <v>82</v>
      </c>
      <c r="L18" s="46" t="s">
        <v>83</v>
      </c>
      <c r="M18" s="47" t="s">
        <v>63</v>
      </c>
      <c r="N18" s="47" t="s">
        <v>42</v>
      </c>
      <c r="O18" s="48" t="s">
        <v>84</v>
      </c>
      <c r="P18" s="49" t="s">
        <v>79</v>
      </c>
    </row>
    <row r="19" spans="1:16" ht="12.75" customHeight="1" thickBot="1" x14ac:dyDescent="0.25">
      <c r="A19" s="10" t="str">
        <f t="shared" si="0"/>
        <v>OEJV 0137 </v>
      </c>
      <c r="B19" s="3" t="str">
        <f t="shared" si="1"/>
        <v>I</v>
      </c>
      <c r="C19" s="10">
        <f t="shared" si="2"/>
        <v>55429.5455</v>
      </c>
      <c r="D19" s="12" t="str">
        <f t="shared" si="3"/>
        <v>vis</v>
      </c>
      <c r="E19" s="45" t="e">
        <f>VLOOKUP(C19,Active!C$21:E$969,3,FALSE)</f>
        <v>#N/A</v>
      </c>
      <c r="F19" s="3" t="s">
        <v>58</v>
      </c>
      <c r="G19" s="12" t="str">
        <f t="shared" si="4"/>
        <v>55429.5455</v>
      </c>
      <c r="H19" s="10">
        <f t="shared" si="5"/>
        <v>2861</v>
      </c>
      <c r="I19" s="46" t="s">
        <v>85</v>
      </c>
      <c r="J19" s="47" t="s">
        <v>81</v>
      </c>
      <c r="K19" s="46" t="s">
        <v>82</v>
      </c>
      <c r="L19" s="46" t="s">
        <v>86</v>
      </c>
      <c r="M19" s="47" t="s">
        <v>63</v>
      </c>
      <c r="N19" s="47" t="s">
        <v>77</v>
      </c>
      <c r="O19" s="48" t="s">
        <v>84</v>
      </c>
      <c r="P19" s="49" t="s">
        <v>79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55439.382700000002</v>
      </c>
      <c r="D20" s="12" t="str">
        <f t="shared" si="3"/>
        <v>vis</v>
      </c>
      <c r="E20" s="45" t="e">
        <f>VLOOKUP(C20,Active!C$21:E$969,3,FALSE)</f>
        <v>#N/A</v>
      </c>
      <c r="F20" s="3" t="s">
        <v>58</v>
      </c>
      <c r="G20" s="12" t="str">
        <f t="shared" si="4"/>
        <v>55439.3827</v>
      </c>
      <c r="H20" s="10">
        <f t="shared" si="5"/>
        <v>2868</v>
      </c>
      <c r="I20" s="46" t="s">
        <v>87</v>
      </c>
      <c r="J20" s="47" t="s">
        <v>88</v>
      </c>
      <c r="K20" s="46" t="s">
        <v>89</v>
      </c>
      <c r="L20" s="46" t="s">
        <v>90</v>
      </c>
      <c r="M20" s="47" t="s">
        <v>63</v>
      </c>
      <c r="N20" s="47" t="s">
        <v>50</v>
      </c>
      <c r="O20" s="48" t="s">
        <v>91</v>
      </c>
      <c r="P20" s="49" t="s">
        <v>79</v>
      </c>
    </row>
    <row r="21" spans="1:16" ht="12.75" customHeight="1" thickBot="1" x14ac:dyDescent="0.25">
      <c r="A21" s="10" t="str">
        <f t="shared" si="0"/>
        <v>BAVM 225 </v>
      </c>
      <c r="B21" s="3" t="str">
        <f t="shared" si="1"/>
        <v>I</v>
      </c>
      <c r="C21" s="10">
        <f t="shared" si="2"/>
        <v>55838.517</v>
      </c>
      <c r="D21" s="12" t="str">
        <f t="shared" si="3"/>
        <v>vis</v>
      </c>
      <c r="E21" s="45">
        <f>VLOOKUP(C21,Active!C$21:E$969,3,FALSE)</f>
        <v>3152.0364598898523</v>
      </c>
      <c r="F21" s="3" t="s">
        <v>58</v>
      </c>
      <c r="G21" s="12" t="str">
        <f t="shared" si="4"/>
        <v>55838.5170</v>
      </c>
      <c r="H21" s="10">
        <f t="shared" si="5"/>
        <v>3152</v>
      </c>
      <c r="I21" s="46" t="s">
        <v>102</v>
      </c>
      <c r="J21" s="47" t="s">
        <v>103</v>
      </c>
      <c r="K21" s="46">
        <v>3152</v>
      </c>
      <c r="L21" s="46" t="s">
        <v>104</v>
      </c>
      <c r="M21" s="47" t="s">
        <v>63</v>
      </c>
      <c r="N21" s="47" t="s">
        <v>105</v>
      </c>
      <c r="O21" s="48" t="s">
        <v>96</v>
      </c>
      <c r="P21" s="49" t="s">
        <v>106</v>
      </c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</sheetData>
  <phoneticPr fontId="7" type="noConversion"/>
  <hyperlinks>
    <hyperlink ref="A3" r:id="rId1" xr:uid="{00000000-0004-0000-0100-000000000000}"/>
    <hyperlink ref="P11" r:id="rId2" display="http://www.bav-astro.de/sfs/BAVM_link.php?BAVMnr=186" xr:uid="{00000000-0004-0000-0100-000001000000}"/>
    <hyperlink ref="P16" r:id="rId3" display="http://www.bav-astro.de/sfs/BAVM_link.php?BAVMnr=212" xr:uid="{00000000-0004-0000-0100-000002000000}"/>
    <hyperlink ref="P17" r:id="rId4" display="http://var.astro.cz/oejv/issues/oejv0137.pdf" xr:uid="{00000000-0004-0000-0100-000003000000}"/>
    <hyperlink ref="P18" r:id="rId5" display="http://var.astro.cz/oejv/issues/oejv0137.pdf" xr:uid="{00000000-0004-0000-0100-000004000000}"/>
    <hyperlink ref="P19" r:id="rId6" display="http://var.astro.cz/oejv/issues/oejv0137.pdf" xr:uid="{00000000-0004-0000-0100-000005000000}"/>
    <hyperlink ref="P20" r:id="rId7" display="http://var.astro.cz/oejv/issues/oejv0137.pdf" xr:uid="{00000000-0004-0000-0100-000006000000}"/>
    <hyperlink ref="P12" r:id="rId8" display="http://www.bav-astro.de/sfs/BAVM_link.php?BAVMnr=220" xr:uid="{00000000-0004-0000-0100-000007000000}"/>
    <hyperlink ref="P13" r:id="rId9" display="http://var.astro.cz/oejv/issues/oejv0160.pdf" xr:uid="{00000000-0004-0000-0100-000008000000}"/>
    <hyperlink ref="P21" r:id="rId10" display="http://www.bav-astro.de/sfs/BAVM_link.php?BAVMnr=225" xr:uid="{00000000-0004-0000-0100-000009000000}"/>
    <hyperlink ref="P14" r:id="rId11" display="http://www.bav-astro.de/sfs/BAVM_link.php?BAVMnr=231" xr:uid="{00000000-0004-0000-0100-00000A000000}"/>
    <hyperlink ref="P15" r:id="rId12" display="http://www.konkoly.hu/cgi-bin/IBVS?6042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2024-01-09T01:55:21Z</dcterms:modified>
</cp:coreProperties>
</file>