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C206168-B50A-478D-9A8F-3EAEA7CEFE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2" r:id="rId2"/>
    <sheet name="A (3)" sheetId="4" r:id="rId3"/>
    <sheet name="BAV" sheetId="3" r:id="rId4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F11" i="4"/>
  <c r="E21" i="4"/>
  <c r="F21" i="4"/>
  <c r="G21" i="4"/>
  <c r="K21" i="4"/>
  <c r="E22" i="4"/>
  <c r="F22" i="4"/>
  <c r="G22" i="4"/>
  <c r="K22" i="4"/>
  <c r="E23" i="4"/>
  <c r="F23" i="4"/>
  <c r="G23" i="4"/>
  <c r="J23" i="4"/>
  <c r="E24" i="4"/>
  <c r="F24" i="4"/>
  <c r="G24" i="4"/>
  <c r="K24" i="4"/>
  <c r="E25" i="4"/>
  <c r="F25" i="4"/>
  <c r="G25" i="4"/>
  <c r="K25" i="4"/>
  <c r="E26" i="4"/>
  <c r="F26" i="4"/>
  <c r="G26" i="4"/>
  <c r="J26" i="4"/>
  <c r="E27" i="4"/>
  <c r="F27" i="4"/>
  <c r="G27" i="4"/>
  <c r="K27" i="4"/>
  <c r="E28" i="4"/>
  <c r="F28" i="4"/>
  <c r="G28" i="4"/>
  <c r="K28" i="4"/>
  <c r="E29" i="4"/>
  <c r="F29" i="4"/>
  <c r="G29" i="4"/>
  <c r="K29" i="4"/>
  <c r="E30" i="4"/>
  <c r="F30" i="4"/>
  <c r="G30" i="4"/>
  <c r="K30" i="4"/>
  <c r="E31" i="4"/>
  <c r="F31" i="4"/>
  <c r="G31" i="4"/>
  <c r="J31" i="4"/>
  <c r="E32" i="4"/>
  <c r="F32" i="4"/>
  <c r="G32" i="4"/>
  <c r="K32" i="4"/>
  <c r="E33" i="4"/>
  <c r="F33" i="4"/>
  <c r="G33" i="4"/>
  <c r="K33" i="4"/>
  <c r="E34" i="4"/>
  <c r="F34" i="4"/>
  <c r="G34" i="4"/>
  <c r="K34" i="4"/>
  <c r="E35" i="4"/>
  <c r="F35" i="4"/>
  <c r="G35" i="4"/>
  <c r="K35" i="4"/>
  <c r="E36" i="4"/>
  <c r="F36" i="4"/>
  <c r="G36" i="4"/>
  <c r="K36" i="4"/>
  <c r="G11" i="4"/>
  <c r="E15" i="4"/>
  <c r="C17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6" i="2"/>
  <c r="E21" i="2"/>
  <c r="F21" i="2"/>
  <c r="G21" i="2"/>
  <c r="K21" i="2"/>
  <c r="E22" i="2"/>
  <c r="F22" i="2"/>
  <c r="G22" i="2"/>
  <c r="K22" i="2"/>
  <c r="E23" i="2"/>
  <c r="F23" i="2"/>
  <c r="G23" i="2"/>
  <c r="J23" i="2"/>
  <c r="E24" i="2"/>
  <c r="F24" i="2"/>
  <c r="G24" i="2"/>
  <c r="K24" i="2"/>
  <c r="E25" i="2"/>
  <c r="F25" i="2"/>
  <c r="G25" i="2"/>
  <c r="K25" i="2"/>
  <c r="E26" i="2"/>
  <c r="F26" i="2"/>
  <c r="G26" i="2"/>
  <c r="J26" i="2"/>
  <c r="E27" i="2"/>
  <c r="F27" i="2"/>
  <c r="G27" i="2"/>
  <c r="K27" i="2"/>
  <c r="E28" i="2"/>
  <c r="F28" i="2"/>
  <c r="G28" i="2"/>
  <c r="K28" i="2"/>
  <c r="E29" i="2"/>
  <c r="F29" i="2"/>
  <c r="G29" i="2"/>
  <c r="K29" i="2"/>
  <c r="E30" i="2"/>
  <c r="F30" i="2"/>
  <c r="G30" i="2"/>
  <c r="K30" i="2"/>
  <c r="E31" i="2"/>
  <c r="F31" i="2"/>
  <c r="G31" i="2"/>
  <c r="J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6" i="2"/>
  <c r="F36" i="2"/>
  <c r="G36" i="2"/>
  <c r="K36" i="2"/>
  <c r="F11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36" i="1"/>
  <c r="F16" i="1"/>
  <c r="F17" i="1" s="1"/>
  <c r="D9" i="1"/>
  <c r="C9" i="1"/>
  <c r="Q21" i="1"/>
  <c r="Q22" i="1"/>
  <c r="Q24" i="1"/>
  <c r="Q27" i="1"/>
  <c r="Q28" i="1"/>
  <c r="Q29" i="1"/>
  <c r="Q33" i="1"/>
  <c r="G19" i="3"/>
  <c r="C19" i="3"/>
  <c r="G11" i="3"/>
  <c r="C11" i="3"/>
  <c r="G12" i="3"/>
  <c r="C12" i="3"/>
  <c r="G13" i="3"/>
  <c r="C13" i="3"/>
  <c r="G14" i="3"/>
  <c r="C14" i="3"/>
  <c r="G15" i="3"/>
  <c r="C15" i="3"/>
  <c r="G20" i="3"/>
  <c r="C20" i="3"/>
  <c r="G16" i="3"/>
  <c r="C16" i="3"/>
  <c r="G21" i="3"/>
  <c r="C21" i="3"/>
  <c r="G17" i="3"/>
  <c r="C17" i="3"/>
  <c r="G22" i="3"/>
  <c r="C22" i="3"/>
  <c r="G23" i="3"/>
  <c r="C23" i="3"/>
  <c r="G18" i="3"/>
  <c r="C18" i="3"/>
  <c r="H23" i="3"/>
  <c r="B23" i="3"/>
  <c r="D23" i="3"/>
  <c r="A23" i="3"/>
  <c r="H22" i="3"/>
  <c r="B22" i="3"/>
  <c r="D22" i="3"/>
  <c r="A22" i="3"/>
  <c r="H17" i="3"/>
  <c r="B17" i="3"/>
  <c r="D17" i="3"/>
  <c r="A17" i="3"/>
  <c r="H21" i="3"/>
  <c r="B21" i="3"/>
  <c r="D21" i="3"/>
  <c r="A21" i="3"/>
  <c r="H16" i="3"/>
  <c r="B16" i="3"/>
  <c r="D16" i="3"/>
  <c r="A16" i="3"/>
  <c r="H20" i="3"/>
  <c r="B20" i="3"/>
  <c r="D20" i="3"/>
  <c r="A20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H19" i="3"/>
  <c r="B19" i="3"/>
  <c r="D19" i="3"/>
  <c r="A19" i="3"/>
  <c r="H18" i="3"/>
  <c r="B18" i="3"/>
  <c r="D18" i="3"/>
  <c r="A18" i="3"/>
  <c r="Q31" i="1"/>
  <c r="G11" i="2"/>
  <c r="E15" i="2"/>
  <c r="C17" i="2"/>
  <c r="Q34" i="1"/>
  <c r="Q35" i="1"/>
  <c r="Q32" i="1"/>
  <c r="Q23" i="1"/>
  <c r="Q26" i="1"/>
  <c r="Q30" i="1"/>
  <c r="C17" i="1"/>
  <c r="Q25" i="1"/>
  <c r="E25" i="1"/>
  <c r="F25" i="1"/>
  <c r="G25" i="1" s="1"/>
  <c r="K25" i="1" s="1"/>
  <c r="E33" i="1"/>
  <c r="F33" i="1" s="1"/>
  <c r="G33" i="1" s="1"/>
  <c r="K33" i="1" s="1"/>
  <c r="E36" i="1"/>
  <c r="F36" i="1" s="1"/>
  <c r="G36" i="1" s="1"/>
  <c r="K36" i="1" s="1"/>
  <c r="E30" i="1"/>
  <c r="E27" i="1"/>
  <c r="F27" i="1"/>
  <c r="G27" i="1"/>
  <c r="K27" i="1" s="1"/>
  <c r="E21" i="1"/>
  <c r="E18" i="3" s="1"/>
  <c r="E31" i="1"/>
  <c r="F31" i="1"/>
  <c r="G31" i="1"/>
  <c r="J31" i="1" s="1"/>
  <c r="E29" i="1"/>
  <c r="F29" i="1" s="1"/>
  <c r="G29" i="1" s="1"/>
  <c r="K29" i="1" s="1"/>
  <c r="E35" i="1"/>
  <c r="F35" i="1"/>
  <c r="G35" i="1"/>
  <c r="K35" i="1" s="1"/>
  <c r="E26" i="1"/>
  <c r="F26" i="1" s="1"/>
  <c r="G26" i="1" s="1"/>
  <c r="J26" i="1" s="1"/>
  <c r="E24" i="1"/>
  <c r="F24" i="1"/>
  <c r="G24" i="1"/>
  <c r="K24" i="1" s="1"/>
  <c r="E34" i="1"/>
  <c r="F34" i="1"/>
  <c r="G34" i="1" s="1"/>
  <c r="K34" i="1" s="1"/>
  <c r="E23" i="1"/>
  <c r="F23" i="1" s="1"/>
  <c r="G23" i="1" s="1"/>
  <c r="J23" i="1" s="1"/>
  <c r="E32" i="1"/>
  <c r="F32" i="1"/>
  <c r="G32" i="1" s="1"/>
  <c r="K32" i="1" s="1"/>
  <c r="E28" i="1"/>
  <c r="E14" i="3" s="1"/>
  <c r="F28" i="1"/>
  <c r="G28" i="1" s="1"/>
  <c r="K28" i="1" s="1"/>
  <c r="E22" i="1"/>
  <c r="F22" i="1"/>
  <c r="G22" i="1" s="1"/>
  <c r="K22" i="1" s="1"/>
  <c r="E22" i="3"/>
  <c r="E12" i="3"/>
  <c r="E20" i="3"/>
  <c r="F30" i="1"/>
  <c r="G30" i="1" s="1"/>
  <c r="K30" i="1" s="1"/>
  <c r="E17" i="3"/>
  <c r="E23" i="3"/>
  <c r="E13" i="3"/>
  <c r="E11" i="3"/>
  <c r="E16" i="3"/>
  <c r="E21" i="3"/>
  <c r="E19" i="3"/>
  <c r="C12" i="4"/>
  <c r="C11" i="4"/>
  <c r="C11" i="2"/>
  <c r="E15" i="3" l="1"/>
  <c r="F21" i="1"/>
  <c r="G21" i="1" s="1"/>
  <c r="O33" i="4"/>
  <c r="O27" i="4"/>
  <c r="O30" i="4"/>
  <c r="O24" i="4"/>
  <c r="O23" i="4"/>
  <c r="O31" i="4"/>
  <c r="O22" i="4"/>
  <c r="O26" i="4"/>
  <c r="O29" i="4"/>
  <c r="O21" i="4"/>
  <c r="O35" i="4"/>
  <c r="O28" i="4"/>
  <c r="O32" i="4"/>
  <c r="C15" i="4"/>
  <c r="O25" i="4"/>
  <c r="O34" i="4"/>
  <c r="O36" i="4"/>
  <c r="C16" i="4"/>
  <c r="D18" i="4" s="1"/>
  <c r="C12" i="2"/>
  <c r="C12" i="1"/>
  <c r="C11" i="1"/>
  <c r="O23" i="2" l="1"/>
  <c r="O35" i="2"/>
  <c r="O27" i="2"/>
  <c r="O31" i="2"/>
  <c r="O33" i="2"/>
  <c r="O22" i="2"/>
  <c r="O34" i="2"/>
  <c r="O25" i="2"/>
  <c r="O30" i="2"/>
  <c r="O28" i="2"/>
  <c r="O26" i="2"/>
  <c r="C16" i="2"/>
  <c r="D18" i="2" s="1"/>
  <c r="O32" i="2"/>
  <c r="O21" i="2"/>
  <c r="C15" i="2"/>
  <c r="E16" i="2" s="1"/>
  <c r="O29" i="2"/>
  <c r="O36" i="2"/>
  <c r="O24" i="2"/>
  <c r="C16" i="1"/>
  <c r="D18" i="1" s="1"/>
  <c r="O28" i="1"/>
  <c r="O35" i="1"/>
  <c r="C15" i="1"/>
  <c r="F18" i="1" s="1"/>
  <c r="F19" i="1" s="1"/>
  <c r="O31" i="1"/>
  <c r="O25" i="1"/>
  <c r="O23" i="1"/>
  <c r="O24" i="1"/>
  <c r="O22" i="1"/>
  <c r="O33" i="1"/>
  <c r="O32" i="1"/>
  <c r="O36" i="1"/>
  <c r="O27" i="1"/>
  <c r="O29" i="1"/>
  <c r="O37" i="1"/>
  <c r="O21" i="1"/>
  <c r="O26" i="1"/>
  <c r="O30" i="1"/>
  <c r="O34" i="1"/>
  <c r="K21" i="1"/>
  <c r="C18" i="4"/>
  <c r="E16" i="4"/>
  <c r="E17" i="4" s="1"/>
  <c r="C18" i="2" l="1"/>
  <c r="E17" i="2"/>
  <c r="C18" i="1"/>
</calcChain>
</file>

<file path=xl/sharedStrings.xml><?xml version="1.0" encoding="utf-8"?>
<sst xmlns="http://schemas.openxmlformats.org/spreadsheetml/2006/main" count="374" uniqueCount="137">
  <si>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</si>
  <si>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</si>
  <si>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</si>
  <si>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</si>
  <si>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</si>
  <si>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</si>
  <si>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</si>
  <si>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</si>
  <si>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</si>
  <si>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</si>
  <si>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</si>
  <si>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</si>
  <si>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</si>
  <si>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</si>
  <si>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</si>
  <si>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</si>
  <si>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</si>
  <si>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</si>
  <si>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</si>
  <si>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</si>
  <si>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</si>
  <si>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</si>
  <si>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</si>
  <si>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</si>
  <si>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</si>
  <si>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</si>
  <si>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</si>
  <si>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</si>
  <si>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</si>
  <si>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</si>
  <si>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</si>
  <si>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</si>
  <si>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</si>
  <si>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V0412 And / G1069-3884               </t>
  </si>
  <si>
    <t>EA/SD</t>
  </si>
  <si>
    <t>And_V0412.xls</t>
  </si>
  <si>
    <t>IBVS 5761</t>
  </si>
  <si>
    <t>I</t>
  </si>
  <si>
    <t>IBVS 5871</t>
  </si>
  <si>
    <t>GCVS</t>
  </si>
  <si>
    <t>Kreiner</t>
  </si>
  <si>
    <t>IBVS 5960</t>
  </si>
  <si>
    <t>.0043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</si>
  <si>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</si>
  <si>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</si>
  <si>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</si>
  <si>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</si>
  <si>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</si>
  <si>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</si>
  <si>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</si>
  <si>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</si>
  <si>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</si>
  <si>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</si>
  <si>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</si>
  <si>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</si>
  <si>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</si>
  <si>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2451032.4479 </t>
  </si>
  <si>
    <t> 06.08.1998 22:44 </t>
  </si>
  <si>
    <t> -0.0033 </t>
  </si>
  <si>
    <t>E </t>
  </si>
  <si>
    <t>?</t>
  </si>
  <si>
    <t> R.Diethelm &amp; P.Kroll </t>
  </si>
  <si>
    <t>IBVS 4674 </t>
  </si>
  <si>
    <t>2451076.3469 </t>
  </si>
  <si>
    <t> 19.09.1998 20:19 </t>
  </si>
  <si>
    <t> -0.0046 </t>
  </si>
  <si>
    <t>2452205.3654 </t>
  </si>
  <si>
    <t> 22.10.2001 20:46 </t>
  </si>
  <si>
    <t> 0.0119 </t>
  </si>
  <si>
    <t> R.Diethelm </t>
  </si>
  <si>
    <t> BBS 126 </t>
  </si>
  <si>
    <t>2454026.3010 </t>
  </si>
  <si>
    <t> 17.10.2006 19:13 </t>
  </si>
  <si>
    <t> 0.0382 </t>
  </si>
  <si>
    <t>C </t>
  </si>
  <si>
    <t>-I</t>
  </si>
  <si>
    <t> F.Agerer </t>
  </si>
  <si>
    <t>BAVM 183 </t>
  </si>
  <si>
    <t>2454360.3313 </t>
  </si>
  <si>
    <t> 16.09.2007 19:57 </t>
  </si>
  <si>
    <t>1494.5</t>
  </si>
  <si>
    <t> 0.0442 </t>
  </si>
  <si>
    <t>BAVM 193 </t>
  </si>
  <si>
    <t>2454423.3193 </t>
  </si>
  <si>
    <t> 18.11.2007 19:39 </t>
  </si>
  <si>
    <t>1527.5</t>
  </si>
  <si>
    <t> 0.0448 </t>
  </si>
  <si>
    <t>o</t>
  </si>
  <si>
    <t> H.Jungbluth </t>
  </si>
  <si>
    <t>2454757.3436 </t>
  </si>
  <si>
    <t> 17.10.2008 20:14 </t>
  </si>
  <si>
    <t>1702.5</t>
  </si>
  <si>
    <t> U.Schmidt </t>
  </si>
  <si>
    <t>BAVM 203 </t>
  </si>
  <si>
    <t>2454769.7531 </t>
  </si>
  <si>
    <t> 30.10.2008 06:04 </t>
  </si>
  <si>
    <t>1709</t>
  </si>
  <si>
    <t> 0.0477 </t>
  </si>
  <si>
    <t>IBVS 5871 </t>
  </si>
  <si>
    <t>2455491.2562 </t>
  </si>
  <si>
    <t> 21.10.2010 18:08 </t>
  </si>
  <si>
    <t>2087</t>
  </si>
  <si>
    <t> 0.0584 </t>
  </si>
  <si>
    <t>BAVM 215 </t>
  </si>
  <si>
    <t>2455523.7051 </t>
  </si>
  <si>
    <t> 23.11.2010 04:55 </t>
  </si>
  <si>
    <t>2104</t>
  </si>
  <si>
    <t> 0.0593 </t>
  </si>
  <si>
    <t>IBVS 5960 </t>
  </si>
  <si>
    <t>2455887.3202 </t>
  </si>
  <si>
    <t> 21.11.2011 19:41 </t>
  </si>
  <si>
    <t>2294.5</t>
  </si>
  <si>
    <t> 0.0651 </t>
  </si>
  <si>
    <t>BAVM 225 </t>
  </si>
  <si>
    <t>2456512.43083 </t>
  </si>
  <si>
    <t> 07.08.2013 22:20 </t>
  </si>
  <si>
    <t>2622</t>
  </si>
  <si>
    <t> 0.07321 </t>
  </si>
  <si>
    <t> L.Šmelcer </t>
  </si>
  <si>
    <t>OEJV 0160 </t>
  </si>
  <si>
    <t>2456512.4312 </t>
  </si>
  <si>
    <t> 0.0736 </t>
  </si>
  <si>
    <t>R</t>
  </si>
  <si>
    <t>II</t>
  </si>
  <si>
    <t>IBVS 4674</t>
  </si>
  <si>
    <t>s7</t>
  </si>
  <si>
    <t>Add cycle</t>
  </si>
  <si>
    <t>Old Cycle</t>
  </si>
  <si>
    <t>s5</t>
  </si>
  <si>
    <t>s6</t>
  </si>
  <si>
    <t>IBVS 5889</t>
  </si>
  <si>
    <t>IBVS 6026</t>
  </si>
  <si>
    <t xml:space="preserve">V0412 And / G3639-1081 / HD 350731         </t>
  </si>
  <si>
    <t>IBVS 5830</t>
  </si>
  <si>
    <t>BBSAG 118</t>
  </si>
  <si>
    <t>BBSAG 119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</si>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</sst>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11" xfId="0" applyFont="1" applyBorder="1" applyAlignment="1"/>
    <xf numFmtId="0" fontId="15" fillId="0" borderId="12" xfId="0" applyFont="1" applyBorder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0" xfId="0" quotePrefix="1">
      <alignment vertical="top"/>
    </xf>
    <xf numFmtId="0" fontId="5" fillId="24" borderId="19" xfId="0" applyFont="1" applyFill="1" applyBorder="1" applyAlignment="1">
      <alignment horizontal="left" vertical="top" wrapText="1" indent="1"/>
    </xf>
    <xf numFmtId="0" fontId="5" fillId="24" borderId="19" xfId="0" applyFont="1" applyFill="1" applyBorder="1" applyAlignment="1">
      <alignment horizontal="center" vertical="top" wrapText="1"/>
    </xf>
    <xf numFmtId="0" fontId="5" fillId="24" borderId="19" xfId="0" applyFont="1" applyFill="1" applyBorder="1" applyAlignment="1">
      <alignment horizontal="right" vertical="top" wrapText="1"/>
    </xf>
    <xf numFmtId="0" fontId="19" fillId="24" borderId="19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center"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9" fillId="0" borderId="0" xfId="0" applyFont="1" applyAlignment="1">
      <alignment horizontal="left"/>
    </xf>
    <xf numFmtId="0" fontId="36" fillId="0" borderId="0" xfId="0" applyFont="1" applyAlignment="1"/>
    <xf numFmtId="0" fontId="36" fillId="0" borderId="0" xfId="0" applyFont="1" applyAlignment="1">
      <alignment horizontal="left"/>
    </xf>
    <xf numFmtId="0" fontId="37" fillId="0" borderId="0" xfId="0" applyFont="1" applyAlignment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5" fillId="0" borderId="0" xfId="42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V0412 And - O-C Diagr.</a:t>
            </a:r>
          </a:p>
        </c:rich>
      </c:tx>
      <c:layout>
        <c:manualLayout>
          <c:xMode val="edge"/>
          <c:yMode val="edge"/>
          <c:x val="0.37293233082706767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328358208955225"/>
          <c:w val="0.82406015037593983"/>
          <c:h val="0.63880597014925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C6-4BDA-8A47-D842B485785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C6-4BDA-8A47-D842B485785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">
                  <c:v>0</c:v>
                </c:pt>
                <c:pt idx="5">
                  <c:v>3.8154999994731043E-2</c:v>
                </c:pt>
                <c:pt idx="10">
                  <c:v>5.843000000459142E-2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C6-4BDA-8A47-D842B485785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0">
                  <c:v>-3.3100000000558794E-3</c:v>
                </c:pt>
                <c:pt idx="1">
                  <c:v>-4.6400000064750202E-3</c:v>
                </c:pt>
                <c:pt idx="3">
                  <c:v>1.1895000003278255E-2</c:v>
                </c:pt>
                <c:pt idx="4">
                  <c:v>1.6945000003033783E-2</c:v>
                </c:pt>
                <c:pt idx="6">
                  <c:v>4.4204999998328276E-2</c:v>
                </c:pt>
                <c:pt idx="7">
                  <c:v>4.4775000002118759E-2</c:v>
                </c:pt>
                <c:pt idx="8">
                  <c:v>4.4824999997217674E-2</c:v>
                </c:pt>
                <c:pt idx="9">
                  <c:v>4.7709999998915009E-2</c:v>
                </c:pt>
                <c:pt idx="11">
                  <c:v>5.9260000001813751E-2</c:v>
                </c:pt>
                <c:pt idx="12">
                  <c:v>6.5105000001494773E-2</c:v>
                </c:pt>
                <c:pt idx="13">
                  <c:v>7.3209999995015096E-2</c:v>
                </c:pt>
                <c:pt idx="14">
                  <c:v>7.3579999996582046E-2</c:v>
                </c:pt>
                <c:pt idx="15">
                  <c:v>8.7199999994481914E-2</c:v>
                </c:pt>
                <c:pt idx="16">
                  <c:v>0.113855000003241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C6-4BDA-8A47-D842B485785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C6-4BDA-8A47-D842B485785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C6-4BDA-8A47-D842B485785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C6-4BDA-8A47-D842B485785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-4.486161799050775E-3</c:v>
                </c:pt>
                <c:pt idx="1">
                  <c:v>-3.8672994272207009E-3</c:v>
                </c:pt>
                <c:pt idx="2">
                  <c:v>2.2136960525009006E-3</c:v>
                </c:pt>
                <c:pt idx="3">
                  <c:v>1.2048226352670128E-2</c:v>
                </c:pt>
                <c:pt idx="4">
                  <c:v>1.6218820597611934E-2</c:v>
                </c:pt>
                <c:pt idx="5">
                  <c:v>3.7717561253795828E-2</c:v>
                </c:pt>
                <c:pt idx="6">
                  <c:v>4.242629669163335E-2</c:v>
                </c:pt>
                <c:pt idx="7">
                  <c:v>4.3314229659911281E-2</c:v>
                </c:pt>
                <c:pt idx="8">
                  <c:v>4.8022965097748803E-2</c:v>
                </c:pt>
                <c:pt idx="9">
                  <c:v>4.8197860985439912E-2</c:v>
                </c:pt>
                <c:pt idx="10">
                  <c:v>5.8368729531168964E-2</c:v>
                </c:pt>
                <c:pt idx="11">
                  <c:v>5.8826149545130324E-2</c:v>
                </c:pt>
                <c:pt idx="12">
                  <c:v>6.3951944407462019E-2</c:v>
                </c:pt>
                <c:pt idx="13">
                  <c:v>7.2764006441129403E-2</c:v>
                </c:pt>
                <c:pt idx="14">
                  <c:v>7.2764006441129403E-2</c:v>
                </c:pt>
                <c:pt idx="15">
                  <c:v>8.7778145722919892E-2</c:v>
                </c:pt>
                <c:pt idx="16">
                  <c:v>0.11494082243433121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C6-4BDA-8A47-D842B4857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10800"/>
        <c:axId val="1"/>
      </c:scatterChart>
      <c:valAx>
        <c:axId val="641410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179104477611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13432835820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410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315789473684209"/>
          <c:y val="0.92238805970149251"/>
          <c:w val="0.61052631578947381"/>
          <c:h val="5.97014925373133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V412 And - O-C Diagr. [51507.72 + 1.90871 n]  </a:t>
            </a:r>
          </a:p>
        </c:rich>
      </c:tx>
      <c:layout>
        <c:manualLayout>
          <c:xMode val="edge"/>
          <c:yMode val="edge"/>
          <c:x val="0.2730927911119543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4042751792001"/>
          <c:y val="0.13333369502412928"/>
          <c:w val="0.85810018472350957"/>
          <c:h val="0.683335186998662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F-4B60-894C-E552911A75D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1F-4B60-894C-E552911A75D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Active!$J$21:$J$994</c:f>
              <c:numCache>
                <c:formatCode>General</c:formatCode>
                <c:ptCount val="974"/>
                <c:pt idx="2">
                  <c:v>0</c:v>
                </c:pt>
                <c:pt idx="5">
                  <c:v>3.8154999994731043E-2</c:v>
                </c:pt>
                <c:pt idx="10">
                  <c:v>5.843000000459142E-2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1F-4B60-894C-E552911A75D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plus>
            <c:minus>
              <c:numRef>
                <c:f>Active!$D$21:$D$994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Active!$K$21:$K$994</c:f>
              <c:numCache>
                <c:formatCode>General</c:formatCode>
                <c:ptCount val="974"/>
                <c:pt idx="0">
                  <c:v>-3.3100000000558794E-3</c:v>
                </c:pt>
                <c:pt idx="1">
                  <c:v>-4.6400000064750202E-3</c:v>
                </c:pt>
                <c:pt idx="3">
                  <c:v>1.1895000003278255E-2</c:v>
                </c:pt>
                <c:pt idx="4">
                  <c:v>1.6945000003033783E-2</c:v>
                </c:pt>
                <c:pt idx="6">
                  <c:v>4.4204999998328276E-2</c:v>
                </c:pt>
                <c:pt idx="7">
                  <c:v>4.4775000002118759E-2</c:v>
                </c:pt>
                <c:pt idx="8">
                  <c:v>4.4824999997217674E-2</c:v>
                </c:pt>
                <c:pt idx="9">
                  <c:v>4.7709999998915009E-2</c:v>
                </c:pt>
                <c:pt idx="11">
                  <c:v>5.9260000001813751E-2</c:v>
                </c:pt>
                <c:pt idx="12">
                  <c:v>6.5105000001494773E-2</c:v>
                </c:pt>
                <c:pt idx="13">
                  <c:v>7.3209999995015096E-2</c:v>
                </c:pt>
                <c:pt idx="14">
                  <c:v>7.3579999996582046E-2</c:v>
                </c:pt>
                <c:pt idx="15">
                  <c:v>8.7199999994481914E-2</c:v>
                </c:pt>
                <c:pt idx="16">
                  <c:v>0.113855000003241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1F-4B60-894C-E552911A75D5}"/>
            </c:ext>
          </c:extLst>
        </c:ser>
        <c:ser>
          <c:idx val="7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Active!$F$21:$F$994</c:f>
              <c:numCache>
                <c:formatCode>General</c:formatCode>
                <c:ptCount val="974"/>
                <c:pt idx="0">
                  <c:v>-249</c:v>
                </c:pt>
                <c:pt idx="1">
                  <c:v>-226</c:v>
                </c:pt>
                <c:pt idx="2">
                  <c:v>0</c:v>
                </c:pt>
                <c:pt idx="3">
                  <c:v>365.5</c:v>
                </c:pt>
                <c:pt idx="4">
                  <c:v>520.5</c:v>
                </c:pt>
                <c:pt idx="5">
                  <c:v>1319.5</c:v>
                </c:pt>
                <c:pt idx="6">
                  <c:v>1494.5</c:v>
                </c:pt>
                <c:pt idx="7">
                  <c:v>1527.5</c:v>
                </c:pt>
                <c:pt idx="8">
                  <c:v>1702.5</c:v>
                </c:pt>
                <c:pt idx="9">
                  <c:v>1709</c:v>
                </c:pt>
                <c:pt idx="10">
                  <c:v>2087</c:v>
                </c:pt>
                <c:pt idx="11">
                  <c:v>2104</c:v>
                </c:pt>
                <c:pt idx="12">
                  <c:v>2294.5</c:v>
                </c:pt>
                <c:pt idx="13">
                  <c:v>2622</c:v>
                </c:pt>
                <c:pt idx="14">
                  <c:v>2622</c:v>
                </c:pt>
                <c:pt idx="15">
                  <c:v>3180</c:v>
                </c:pt>
                <c:pt idx="16">
                  <c:v>4189.5</c:v>
                </c:pt>
              </c:numCache>
            </c:numRef>
          </c:xVal>
          <c:yVal>
            <c:numRef>
              <c:f>Active!$O$21:$O$994</c:f>
              <c:numCache>
                <c:formatCode>General</c:formatCode>
                <c:ptCount val="974"/>
                <c:pt idx="0">
                  <c:v>-4.486161799050775E-3</c:v>
                </c:pt>
                <c:pt idx="1">
                  <c:v>-3.8672994272207009E-3</c:v>
                </c:pt>
                <c:pt idx="2">
                  <c:v>2.2136960525009006E-3</c:v>
                </c:pt>
                <c:pt idx="3">
                  <c:v>1.2048226352670128E-2</c:v>
                </c:pt>
                <c:pt idx="4">
                  <c:v>1.6218820597611934E-2</c:v>
                </c:pt>
                <c:pt idx="5">
                  <c:v>3.7717561253795828E-2</c:v>
                </c:pt>
                <c:pt idx="6">
                  <c:v>4.242629669163335E-2</c:v>
                </c:pt>
                <c:pt idx="7">
                  <c:v>4.3314229659911281E-2</c:v>
                </c:pt>
                <c:pt idx="8">
                  <c:v>4.8022965097748803E-2</c:v>
                </c:pt>
                <c:pt idx="9">
                  <c:v>4.8197860985439912E-2</c:v>
                </c:pt>
                <c:pt idx="10">
                  <c:v>5.8368729531168964E-2</c:v>
                </c:pt>
                <c:pt idx="11">
                  <c:v>5.8826149545130324E-2</c:v>
                </c:pt>
                <c:pt idx="12">
                  <c:v>6.3951944407462019E-2</c:v>
                </c:pt>
                <c:pt idx="13">
                  <c:v>7.2764006441129403E-2</c:v>
                </c:pt>
                <c:pt idx="14">
                  <c:v>7.2764006441129403E-2</c:v>
                </c:pt>
                <c:pt idx="15">
                  <c:v>8.7778145722919892E-2</c:v>
                </c:pt>
                <c:pt idx="16">
                  <c:v>0.11494082243433121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1F-4B60-894C-E552911A7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04680"/>
        <c:axId val="1"/>
      </c:scatterChart>
      <c:valAx>
        <c:axId val="64140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085788473227988"/>
              <c:y val="0.92500262467191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6064257028112448E-2"/>
              <c:y val="0.37500087489063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4046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522130516817925"/>
          <c:y val="0.91666929133858266"/>
          <c:w val="0.40160698788153482"/>
          <c:h val="6.11114027413239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V412 And - O-C Diagr. [57577.5059 + 1.9087371 n]   </a:t>
            </a:r>
          </a:p>
        </c:rich>
      </c:tx>
      <c:layout>
        <c:manualLayout>
          <c:xMode val="edge"/>
          <c:yMode val="edge"/>
          <c:x val="0.25066326921336424"/>
          <c:y val="3.324099722991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4834285396043"/>
          <c:y val="0.13296416876429509"/>
          <c:w val="0.85543821975390355"/>
          <c:h val="0.686981538615524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(2)'!$D$21:$D$234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(2)'!$H$21:$H$994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31-43E3-870A-427CC5A7D0BA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(2)'!$I$21:$I$994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31-43E3-870A-427CC5A7D0BA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(2)'!$J$21:$J$994</c:f>
              <c:numCache>
                <c:formatCode>General</c:formatCode>
                <c:ptCount val="974"/>
                <c:pt idx="2">
                  <c:v>-2.0325956429587677E-3</c:v>
                </c:pt>
                <c:pt idx="5">
                  <c:v>3.9073952211765572E-4</c:v>
                </c:pt>
                <c:pt idx="10">
                  <c:v>-1.1793062731157988E-4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31-43E3-870A-427CC5A7D0BA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(2)'!$D$21:$D$994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(2)'!$K$21:$K$994</c:f>
              <c:numCache>
                <c:formatCode>General</c:formatCode>
                <c:ptCount val="974"/>
                <c:pt idx="0">
                  <c:v>1.4002497846377082E-3</c:v>
                </c:pt>
                <c:pt idx="1">
                  <c:v>-5.5258332577068359E-4</c:v>
                </c:pt>
                <c:pt idx="3">
                  <c:v>-3.5226177715230733E-5</c:v>
                </c:pt>
                <c:pt idx="4">
                  <c:v>8.174202375812456E-4</c:v>
                </c:pt>
                <c:pt idx="6">
                  <c:v>1.7017919308273122E-3</c:v>
                </c:pt>
                <c:pt idx="7">
                  <c:v>1.3781618181383237E-3</c:v>
                </c:pt>
                <c:pt idx="8">
                  <c:v>-3.3107857816503383E-3</c:v>
                </c:pt>
                <c:pt idx="9">
                  <c:v>-6.0180383297847584E-4</c:v>
                </c:pt>
                <c:pt idx="11">
                  <c:v>2.517144603189081E-4</c:v>
                </c:pt>
                <c:pt idx="12">
                  <c:v>9.3803151685278863E-4</c:v>
                </c:pt>
                <c:pt idx="13">
                  <c:v>1.7442958778701723E-4</c:v>
                </c:pt>
                <c:pt idx="14">
                  <c:v>5.4442958935396746E-4</c:v>
                </c:pt>
                <c:pt idx="15">
                  <c:v>-9.4604329933645204E-4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31-43E3-870A-427CC5A7D0BA}"/>
            </c:ext>
          </c:extLst>
        </c:ser>
        <c:ser>
          <c:idx val="7"/>
          <c:order val="4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(2)'!$O$21:$O$994</c:f>
              <c:numCache>
                <c:formatCode>General</c:formatCode>
                <c:ptCount val="974"/>
                <c:pt idx="0">
                  <c:v>-6.3903841842892767E-12</c:v>
                </c:pt>
                <c:pt idx="1">
                  <c:v>-6.5075713024393902E-12</c:v>
                </c:pt>
                <c:pt idx="2">
                  <c:v>-7.6590621155666189E-12</c:v>
                </c:pt>
                <c:pt idx="3">
                  <c:v>-9.5213182757347697E-12</c:v>
                </c:pt>
                <c:pt idx="4">
                  <c:v>-1.0311057550224682E-11</c:v>
                </c:pt>
                <c:pt idx="5">
                  <c:v>-1.4382036132917847E-11</c:v>
                </c:pt>
                <c:pt idx="6">
                  <c:v>-1.5273677249277426E-11</c:v>
                </c:pt>
                <c:pt idx="7">
                  <c:v>-1.5441815288362375E-11</c:v>
                </c:pt>
                <c:pt idx="8">
                  <c:v>-1.6333456404721956E-11</c:v>
                </c:pt>
                <c:pt idx="9">
                  <c:v>-1.6366574503329597E-11</c:v>
                </c:pt>
                <c:pt idx="10">
                  <c:v>-1.8292519314666286E-11</c:v>
                </c:pt>
                <c:pt idx="11">
                  <c:v>-1.8379135880255503E-11</c:v>
                </c:pt>
                <c:pt idx="12">
                  <c:v>-1.9349750924064075E-11</c:v>
                </c:pt>
                <c:pt idx="13">
                  <c:v>-2.1018393584679858E-11</c:v>
                </c:pt>
                <c:pt idx="14">
                  <c:v>-2.1018393584679858E-11</c:v>
                </c:pt>
                <c:pt idx="15">
                  <c:v>-2.3861454972843546E-11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31-43E3-870A-427CC5A7D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09000"/>
        <c:axId val="1"/>
      </c:scatterChart>
      <c:valAx>
        <c:axId val="641409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8726846146884153"/>
              <c:y val="0.92520891952217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9.2838196286472146E-3"/>
              <c:y val="0.37673188358380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409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3421778511107864"/>
          <c:y val="0.92243883641968571"/>
          <c:w val="0.39787826256465947"/>
          <c:h val="6.0941828254847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V412 And - O-C Diagr.</a:t>
            </a:r>
          </a:p>
        </c:rich>
      </c:tx>
      <c:layout>
        <c:manualLayout>
          <c:xMode val="edge"/>
          <c:yMode val="edge"/>
          <c:x val="0.37293233082706767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203007518796988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(3)'!$D$21:$D$234</c:f>
                <c:numCache>
                  <c:formatCode>General</c:formatCode>
                  <c:ptCount val="21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(3)'!$H$21:$H$994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11-43CD-9015-145EFC2D1EF7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(3)'!$I$21:$I$994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11-43CD-9015-145EFC2D1EF7}"/>
            </c:ext>
          </c:extLst>
        </c:ser>
        <c:ser>
          <c:idx val="3"/>
          <c:order val="2"/>
          <c:tx>
            <c:strRef>
              <c:f>'A (3)'!$J$20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(3)'!$J$21:$J$994</c:f>
              <c:numCache>
                <c:formatCode>General</c:formatCode>
                <c:ptCount val="974"/>
                <c:pt idx="2">
                  <c:v>-2.0325956356828101E-3</c:v>
                </c:pt>
                <c:pt idx="5">
                  <c:v>3.9073953666957095E-4</c:v>
                </c:pt>
                <c:pt idx="10">
                  <c:v>-1.1793060548370704E-4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11-43CD-9015-145EFC2D1EF7}"/>
            </c:ext>
          </c:extLst>
        </c:ser>
        <c:ser>
          <c:idx val="4"/>
          <c:order val="3"/>
          <c:tx>
            <c:strRef>
              <c:f>'A (3)'!$K$20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(3)'!$K$21:$K$994</c:f>
              <c:numCache>
                <c:formatCode>General</c:formatCode>
                <c:ptCount val="974"/>
                <c:pt idx="0">
                  <c:v>1.4002497919136658E-3</c:v>
                </c:pt>
                <c:pt idx="1">
                  <c:v>-5.5258331849472597E-4</c:v>
                </c:pt>
                <c:pt idx="3">
                  <c:v>-3.5226170439273119E-5</c:v>
                </c:pt>
                <c:pt idx="4">
                  <c:v>8.1742025213316083E-4</c:v>
                </c:pt>
                <c:pt idx="6">
                  <c:v>1.7017919453792274E-3</c:v>
                </c:pt>
                <c:pt idx="7">
                  <c:v>1.378161832690239E-3</c:v>
                </c:pt>
                <c:pt idx="8">
                  <c:v>-3.3107857598224655E-3</c:v>
                </c:pt>
                <c:pt idx="9">
                  <c:v>-6.01803811150603E-4</c:v>
                </c:pt>
                <c:pt idx="11">
                  <c:v>2.5171448214678094E-4</c:v>
                </c:pt>
                <c:pt idx="12">
                  <c:v>9.3803153140470386E-4</c:v>
                </c:pt>
                <c:pt idx="13">
                  <c:v>1.7442960961489007E-4</c:v>
                </c:pt>
                <c:pt idx="14">
                  <c:v>5.444296111818403E-4</c:v>
                </c:pt>
                <c:pt idx="15">
                  <c:v>-9.4604327750857919E-4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11-43CD-9015-145EFC2D1EF7}"/>
            </c:ext>
          </c:extLst>
        </c:ser>
        <c:ser>
          <c:idx val="2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(3)'!$L$21:$L$994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11-43CD-9015-145EFC2D1EF7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(3)'!$M$21:$M$994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11-43CD-9015-145EFC2D1EF7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plus>
            <c:minus>
              <c:numRef>
                <c:f>'A (3)'!$D$21:$D$994</c:f>
                <c:numCache>
                  <c:formatCode>General</c:formatCode>
                  <c:ptCount val="974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4.3E-3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5.9999999999999995E-4</c:v>
                  </c:pt>
                  <c:pt idx="10">
                    <c:v>3.0999999999999999E-3</c:v>
                  </c:pt>
                  <c:pt idx="11">
                    <c:v>2.9999999999999997E-4</c:v>
                  </c:pt>
                  <c:pt idx="12">
                    <c:v>0</c:v>
                  </c:pt>
                  <c:pt idx="13">
                    <c:v>6.9999999999999999E-4</c:v>
                  </c:pt>
                  <c:pt idx="14">
                    <c:v>2.9999999999999997E-4</c:v>
                  </c:pt>
                  <c:pt idx="15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(3)'!$N$21:$N$994</c:f>
              <c:numCache>
                <c:formatCode>General</c:formatCode>
                <c:ptCount val="97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11-43CD-9015-145EFC2D1EF7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(3)'!$F$21:$F$994</c:f>
              <c:numCache>
                <c:formatCode>General</c:formatCode>
                <c:ptCount val="974"/>
                <c:pt idx="0">
                  <c:v>-3429</c:v>
                </c:pt>
                <c:pt idx="1">
                  <c:v>-3406</c:v>
                </c:pt>
                <c:pt idx="2">
                  <c:v>-3180</c:v>
                </c:pt>
                <c:pt idx="3">
                  <c:v>-2814.5</c:v>
                </c:pt>
                <c:pt idx="4">
                  <c:v>-2659.5</c:v>
                </c:pt>
                <c:pt idx="5">
                  <c:v>-1860.5</c:v>
                </c:pt>
                <c:pt idx="6">
                  <c:v>-1685.5</c:v>
                </c:pt>
                <c:pt idx="7">
                  <c:v>-1652.5</c:v>
                </c:pt>
                <c:pt idx="8">
                  <c:v>-1477.5</c:v>
                </c:pt>
                <c:pt idx="9">
                  <c:v>-1471</c:v>
                </c:pt>
                <c:pt idx="10">
                  <c:v>-1093</c:v>
                </c:pt>
                <c:pt idx="11">
                  <c:v>-1076</c:v>
                </c:pt>
                <c:pt idx="12">
                  <c:v>-885.5</c:v>
                </c:pt>
                <c:pt idx="13">
                  <c:v>-558</c:v>
                </c:pt>
                <c:pt idx="14">
                  <c:v>-558</c:v>
                </c:pt>
                <c:pt idx="15">
                  <c:v>0</c:v>
                </c:pt>
              </c:numCache>
            </c:numRef>
          </c:xVal>
          <c:yVal>
            <c:numRef>
              <c:f>'A (3)'!$O$21:$O$994</c:f>
              <c:numCache>
                <c:formatCode>General</c:formatCode>
                <c:ptCount val="974"/>
                <c:pt idx="0">
                  <c:v>1.116483159365921E-12</c:v>
                </c:pt>
                <c:pt idx="1">
                  <c:v>1.1136679786435992E-12</c:v>
                </c:pt>
                <c:pt idx="2">
                  <c:v>1.0860057680677419E-12</c:v>
                </c:pt>
                <c:pt idx="3">
                  <c:v>1.0412688744151936E-12</c:v>
                </c:pt>
                <c:pt idx="4">
                  <c:v>1.0222970043299818E-12</c:v>
                </c:pt>
                <c:pt idx="5">
                  <c:v>9.2450007401976027E-13</c:v>
                </c:pt>
                <c:pt idx="6">
                  <c:v>9.0308022069774675E-13</c:v>
                </c:pt>
                <c:pt idx="7">
                  <c:v>8.990410483570242E-13</c:v>
                </c:pt>
                <c:pt idx="8">
                  <c:v>8.7762119503501068E-13</c:v>
                </c:pt>
                <c:pt idx="9">
                  <c:v>8.7682560048305025E-13</c:v>
                </c:pt>
                <c:pt idx="10">
                  <c:v>8.3055871730750113E-13</c:v>
                </c:pt>
                <c:pt idx="11">
                  <c:v>8.2847793155621974E-13</c:v>
                </c:pt>
                <c:pt idx="12">
                  <c:v>8.0516089122568518E-13</c:v>
                </c:pt>
                <c:pt idx="13">
                  <c:v>7.6507516572305992E-13</c:v>
                </c:pt>
                <c:pt idx="14">
                  <c:v>7.6507516572305992E-13</c:v>
                </c:pt>
                <c:pt idx="15">
                  <c:v>6.9677643341629691E-13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11-43CD-9015-145EFC2D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14400"/>
        <c:axId val="1"/>
      </c:scatterChart>
      <c:valAx>
        <c:axId val="641414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414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61654135338346"/>
          <c:y val="0.92353064690443099"/>
          <c:w val="0.61052631578947369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990600</xdr:colOff>
      <xdr:row>0</xdr:row>
      <xdr:rowOff>38101</xdr:rowOff>
    </xdr:from>
    <xdr:to>
      <xdr:col>18</xdr:col>
      <xdr:colOff>76200</xdr:colOff>
      <xdr:row>18</xdr:row>
      <xdr:rowOff>152401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9CCFB5E-C842-03C9-2761-F55F809EB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266700</xdr:colOff>
      <xdr:row>0</xdr:row>
      <xdr:rowOff>9525</xdr:rowOff>
    </xdr:from>
    <xdr:to>
      <xdr:col>27</xdr:col>
      <xdr:colOff>514350</xdr:colOff>
      <xdr:row>19</xdr:row>
      <xdr:rowOff>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7BB90F4-EA43-9C65-1946-85DF3F950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21</xdr:col>
      <xdr:colOff>466725</xdr:colOff>
      <xdr:row>20</xdr:row>
      <xdr:rowOff>28575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D246C0F3-D4D1-4C4C-7017-F898B4B9A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E206AF4D-5795-9B5E-794B-FE6DE85D0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4674" TargetMode="External"/><Relationship Id="rId7" Type="http://schemas.openxmlformats.org/officeDocument/2006/relationships/hyperlink" Target="http://www.bav-astro.de/sfs/BAVM_link.php?BAVMnr=203" TargetMode="External"/><Relationship Id="rId12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67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93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93" TargetMode="External"/><Relationship Id="rId10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www.bav-astro.de/sfs/BAVM_link.php?BAVMnr=183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35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>
      <c r="A1" s="58" t="s">
        <v>132</v>
      </c>
      <c r="G1">
        <v>1.9087371</v>
      </c>
      <c r="H1" t="s">
        <v>34</v>
      </c>
      <c r="I1" t="s">
        <v>35</v>
      </c>
    </row>
    <row r="2" spans="1:9">
      <c r="A2" t="s">
        <v>24</v>
      </c>
      <c r="B2" t="s">
        <v>34</v>
      </c>
      <c r="C2" s="3"/>
      <c r="D2" s="3"/>
      <c r="E2" t="s">
        <v>35</v>
      </c>
    </row>
    <row r="3" spans="1:9" ht="13.5" thickBot="1"/>
    <row r="4" spans="1:9" ht="13.5" thickBot="1">
      <c r="A4" s="5" t="s">
        <v>1</v>
      </c>
      <c r="C4" s="27">
        <v>51507.72</v>
      </c>
      <c r="D4" s="28">
        <v>1.9087099999999999</v>
      </c>
    </row>
    <row r="5" spans="1:9">
      <c r="A5" s="9" t="s">
        <v>26</v>
      </c>
      <c r="B5" s="10"/>
      <c r="C5" s="11">
        <v>-9.5</v>
      </c>
      <c r="D5" s="10" t="s">
        <v>27</v>
      </c>
    </row>
    <row r="6" spans="1:9">
      <c r="A6" s="5" t="s">
        <v>2</v>
      </c>
    </row>
    <row r="7" spans="1:9">
      <c r="A7" t="s">
        <v>3</v>
      </c>
      <c r="C7">
        <v>51507.72</v>
      </c>
    </row>
    <row r="8" spans="1:9">
      <c r="A8" t="s">
        <v>4</v>
      </c>
      <c r="C8">
        <v>1.9087099999999999</v>
      </c>
    </row>
    <row r="9" spans="1:9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9" ht="13.5" thickBot="1">
      <c r="A10" s="10"/>
      <c r="B10" s="10"/>
      <c r="C10" s="4" t="s">
        <v>20</v>
      </c>
      <c r="D10" s="4" t="s">
        <v>21</v>
      </c>
      <c r="E10" s="10"/>
    </row>
    <row r="11" spans="1:9">
      <c r="A11" s="10" t="s">
        <v>16</v>
      </c>
      <c r="B11" s="10"/>
      <c r="C11" s="22">
        <f ca="1">INTERCEPT(INDIRECT($D$9):G987,INDIRECT($C$9):F987)</f>
        <v>2.2136960525009006E-3</v>
      </c>
      <c r="D11" s="3"/>
      <c r="E11" s="10"/>
    </row>
    <row r="12" spans="1:9">
      <c r="A12" s="10" t="s">
        <v>17</v>
      </c>
      <c r="B12" s="10"/>
      <c r="C12" s="22">
        <f ca="1">SLOPE(INDIRECT($D$9):G987,INDIRECT($C$9):F987)</f>
        <v>2.6907059644785847E-5</v>
      </c>
      <c r="D12" s="3"/>
      <c r="E12" s="10"/>
    </row>
    <row r="13" spans="1:9">
      <c r="A13" s="10" t="s">
        <v>19</v>
      </c>
      <c r="B13" s="10"/>
      <c r="C13" s="3" t="s">
        <v>14</v>
      </c>
      <c r="D13" s="3"/>
      <c r="E13" s="10"/>
    </row>
    <row r="14" spans="1:9">
      <c r="A14" s="10"/>
      <c r="B14" s="10"/>
      <c r="C14" s="10"/>
      <c r="D14" s="10"/>
      <c r="E14" s="10"/>
    </row>
    <row r="15" spans="1:9">
      <c r="A15" s="12" t="s">
        <v>18</v>
      </c>
      <c r="B15" s="10"/>
      <c r="C15" s="13">
        <f ca="1">(C7+C11)+(C8+C12)*INT(MAX(F21:F3528))</f>
        <v>59503.421117368911</v>
      </c>
      <c r="E15" s="14" t="s">
        <v>126</v>
      </c>
      <c r="F15" s="11">
        <v>1</v>
      </c>
    </row>
    <row r="16" spans="1:9">
      <c r="A16" s="16" t="s">
        <v>5</v>
      </c>
      <c r="B16" s="10"/>
      <c r="C16" s="17">
        <f ca="1">+C8+C12</f>
        <v>1.9087369070596447</v>
      </c>
      <c r="E16" s="14" t="s">
        <v>28</v>
      </c>
      <c r="F16" s="15">
        <f ca="1">NOW()+15018.5+$C$5/24</f>
        <v>60319.529324189811</v>
      </c>
    </row>
    <row r="17" spans="1:22" ht="13.5" thickBot="1">
      <c r="A17" s="14" t="s">
        <v>25</v>
      </c>
      <c r="B17" s="10"/>
      <c r="C17" s="10">
        <f>COUNT(C21:C2186)</f>
        <v>17</v>
      </c>
      <c r="E17" s="14" t="s">
        <v>127</v>
      </c>
      <c r="F17" s="15">
        <f ca="1">ROUND(2*(F16-$C$7)/$C$8,0)/2+F15</f>
        <v>4617.5</v>
      </c>
    </row>
    <row r="18" spans="1:22" ht="14.25" thickTop="1" thickBot="1">
      <c r="A18" s="16" t="s">
        <v>6</v>
      </c>
      <c r="B18" s="10"/>
      <c r="C18" s="19">
        <f ca="1">+C15</f>
        <v>59503.421117368911</v>
      </c>
      <c r="D18" s="20">
        <f ca="1">+C16</f>
        <v>1.9087369070596447</v>
      </c>
      <c r="E18" s="14" t="s">
        <v>29</v>
      </c>
      <c r="F18" s="24">
        <f ca="1">ROUND(2*(F16-$C$15)/$C$16,0)/2+F15</f>
        <v>428.5</v>
      </c>
    </row>
    <row r="19" spans="1:22" ht="13.5" thickTop="1">
      <c r="E19" s="14" t="s">
        <v>30</v>
      </c>
      <c r="F19" s="18">
        <f ca="1">+$C$15+$C$16*F18-15018.5-$C$5/24</f>
        <v>45303.210715377303</v>
      </c>
    </row>
    <row r="20" spans="1:22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128</v>
      </c>
      <c r="M20" s="7" t="s">
        <v>129</v>
      </c>
      <c r="N20" s="7" t="s">
        <v>125</v>
      </c>
      <c r="O20" s="7" t="s">
        <v>23</v>
      </c>
      <c r="P20" s="6" t="s">
        <v>22</v>
      </c>
      <c r="Q20" s="4" t="s">
        <v>15</v>
      </c>
    </row>
    <row r="21" spans="1:22">
      <c r="A21" s="56" t="s">
        <v>124</v>
      </c>
      <c r="B21" s="3" t="s">
        <v>37</v>
      </c>
      <c r="C21" s="8">
        <v>51032.447899999999</v>
      </c>
      <c r="D21" s="57" t="s">
        <v>47</v>
      </c>
      <c r="E21">
        <f t="shared" ref="E21:E36" si="0">+(C21-C$7)/C$8</f>
        <v>-249.00173415553016</v>
      </c>
      <c r="F21">
        <f t="shared" ref="F21:F37" si="1">ROUND(2*E21,0)/2</f>
        <v>-249</v>
      </c>
      <c r="G21">
        <f t="shared" ref="G21:G36" si="2">+C21-(C$7+F21*C$8)</f>
        <v>-3.3100000000558794E-3</v>
      </c>
      <c r="K21">
        <f>G21</f>
        <v>-3.3100000000558794E-3</v>
      </c>
      <c r="O21">
        <f t="shared" ref="O21:O36" ca="1" si="3">+C$11+C$12*$F21</f>
        <v>-4.486161799050775E-3</v>
      </c>
      <c r="Q21" s="2">
        <f t="shared" ref="Q21:Q36" si="4">+C21-15018.5</f>
        <v>36013.947899999999</v>
      </c>
      <c r="V21" t="s">
        <v>134</v>
      </c>
    </row>
    <row r="22" spans="1:22">
      <c r="A22" s="56" t="s">
        <v>124</v>
      </c>
      <c r="B22" s="3" t="s">
        <v>37</v>
      </c>
      <c r="C22" s="8">
        <v>51076.346899999997</v>
      </c>
      <c r="D22" s="57" t="s">
        <v>47</v>
      </c>
      <c r="E22">
        <f t="shared" si="0"/>
        <v>-226.00243096122742</v>
      </c>
      <c r="F22">
        <f t="shared" si="1"/>
        <v>-226</v>
      </c>
      <c r="G22">
        <f t="shared" si="2"/>
        <v>-4.6400000064750202E-3</v>
      </c>
      <c r="K22">
        <f>G22</f>
        <v>-4.6400000064750202E-3</v>
      </c>
      <c r="O22">
        <f t="shared" ca="1" si="3"/>
        <v>-3.8672994272207009E-3</v>
      </c>
      <c r="Q22" s="2">
        <f t="shared" si="4"/>
        <v>36057.846899999997</v>
      </c>
      <c r="V22" t="s">
        <v>135</v>
      </c>
    </row>
    <row r="23" spans="1:22">
      <c r="A23" s="32" t="s">
        <v>39</v>
      </c>
      <c r="B23" s="34"/>
      <c r="C23" s="33">
        <v>51507.72</v>
      </c>
      <c r="D23" s="33"/>
      <c r="E23">
        <f t="shared" si="0"/>
        <v>0</v>
      </c>
      <c r="F23">
        <f t="shared" si="1"/>
        <v>0</v>
      </c>
      <c r="G23">
        <f t="shared" si="2"/>
        <v>0</v>
      </c>
      <c r="J23">
        <f>G23</f>
        <v>0</v>
      </c>
      <c r="O23">
        <f t="shared" ca="1" si="3"/>
        <v>2.2136960525009006E-3</v>
      </c>
      <c r="Q23" s="2">
        <f t="shared" si="4"/>
        <v>36489.22</v>
      </c>
    </row>
    <row r="24" spans="1:22">
      <c r="A24" s="24" t="s">
        <v>70</v>
      </c>
      <c r="B24" s="3" t="s">
        <v>123</v>
      </c>
      <c r="C24" s="8">
        <v>52205.365400000002</v>
      </c>
      <c r="D24" s="8" t="s">
        <v>55</v>
      </c>
      <c r="E24">
        <f t="shared" si="0"/>
        <v>365.50623195771033</v>
      </c>
      <c r="F24">
        <f t="shared" si="1"/>
        <v>365.5</v>
      </c>
      <c r="G24">
        <f t="shared" si="2"/>
        <v>1.1895000003278255E-2</v>
      </c>
      <c r="K24">
        <f>G24</f>
        <v>1.1895000003278255E-2</v>
      </c>
      <c r="O24">
        <f t="shared" ca="1" si="3"/>
        <v>1.2048226352670128E-2</v>
      </c>
      <c r="Q24" s="2">
        <f t="shared" si="4"/>
        <v>37186.865400000002</v>
      </c>
    </row>
    <row r="25" spans="1:22">
      <c r="A25" s="32" t="s">
        <v>40</v>
      </c>
      <c r="B25" s="34"/>
      <c r="C25" s="33">
        <v>52501.220500000003</v>
      </c>
      <c r="D25" s="33" t="s">
        <v>14</v>
      </c>
      <c r="E25">
        <f t="shared" si="0"/>
        <v>520.50887772369924</v>
      </c>
      <c r="F25">
        <f t="shared" si="1"/>
        <v>520.5</v>
      </c>
      <c r="G25">
        <f t="shared" si="2"/>
        <v>1.6945000003033783E-2</v>
      </c>
      <c r="K25">
        <f>G25</f>
        <v>1.6945000003033783E-2</v>
      </c>
      <c r="O25">
        <f t="shared" ca="1" si="3"/>
        <v>1.6218820597611934E-2</v>
      </c>
      <c r="Q25" s="2">
        <f t="shared" si="4"/>
        <v>37482.720500000003</v>
      </c>
    </row>
    <row r="26" spans="1:22">
      <c r="A26" s="33" t="s">
        <v>36</v>
      </c>
      <c r="B26" s="34" t="s">
        <v>37</v>
      </c>
      <c r="C26" s="33">
        <v>54026.300999999999</v>
      </c>
      <c r="D26" s="33" t="s">
        <v>42</v>
      </c>
      <c r="E26">
        <f t="shared" si="0"/>
        <v>1319.5199899408492</v>
      </c>
      <c r="F26">
        <f t="shared" si="1"/>
        <v>1319.5</v>
      </c>
      <c r="G26">
        <f t="shared" si="2"/>
        <v>3.8154999994731043E-2</v>
      </c>
      <c r="J26">
        <f>G26</f>
        <v>3.8154999994731043E-2</v>
      </c>
      <c r="O26">
        <f t="shared" ca="1" si="3"/>
        <v>3.7717561253795828E-2</v>
      </c>
      <c r="Q26" s="2">
        <f t="shared" si="4"/>
        <v>39007.800999999999</v>
      </c>
    </row>
    <row r="27" spans="1:22">
      <c r="A27" s="56" t="s">
        <v>133</v>
      </c>
      <c r="B27" s="3" t="s">
        <v>123</v>
      </c>
      <c r="C27" s="8">
        <v>54360.331299999998</v>
      </c>
      <c r="D27" t="s">
        <v>47</v>
      </c>
      <c r="E27">
        <f t="shared" si="0"/>
        <v>1494.5231596208941</v>
      </c>
      <c r="F27">
        <f t="shared" si="1"/>
        <v>1494.5</v>
      </c>
      <c r="G27">
        <f t="shared" si="2"/>
        <v>4.4204999998328276E-2</v>
      </c>
      <c r="K27">
        <f>G27</f>
        <v>4.4204999998328276E-2</v>
      </c>
      <c r="O27">
        <f t="shared" ca="1" si="3"/>
        <v>4.242629669163335E-2</v>
      </c>
      <c r="Q27" s="2">
        <f t="shared" si="4"/>
        <v>39341.831299999998</v>
      </c>
      <c r="R27" s="24"/>
    </row>
    <row r="28" spans="1:22">
      <c r="A28" s="56" t="s">
        <v>133</v>
      </c>
      <c r="B28" s="3" t="s">
        <v>123</v>
      </c>
      <c r="C28" s="8">
        <v>54423.319300000003</v>
      </c>
      <c r="D28" t="s">
        <v>47</v>
      </c>
      <c r="E28">
        <f t="shared" si="0"/>
        <v>1527.5234582519092</v>
      </c>
      <c r="F28">
        <f t="shared" si="1"/>
        <v>1527.5</v>
      </c>
      <c r="G28">
        <f t="shared" si="2"/>
        <v>4.4775000002118759E-2</v>
      </c>
      <c r="K28">
        <f>G28</f>
        <v>4.4775000002118759E-2</v>
      </c>
      <c r="O28">
        <f t="shared" ca="1" si="3"/>
        <v>4.3314229659911281E-2</v>
      </c>
      <c r="Q28" s="2">
        <f t="shared" si="4"/>
        <v>39404.819300000003</v>
      </c>
      <c r="R28" s="24"/>
      <c r="S28" s="56"/>
    </row>
    <row r="29" spans="1:22">
      <c r="A29" t="s">
        <v>130</v>
      </c>
      <c r="B29" s="3" t="s">
        <v>123</v>
      </c>
      <c r="C29" s="8">
        <v>54757.3436</v>
      </c>
      <c r="D29" t="s">
        <v>47</v>
      </c>
      <c r="E29">
        <f t="shared" si="0"/>
        <v>1702.5234844476108</v>
      </c>
      <c r="F29">
        <f t="shared" si="1"/>
        <v>1702.5</v>
      </c>
      <c r="G29">
        <f t="shared" si="2"/>
        <v>4.4824999997217674E-2</v>
      </c>
      <c r="K29">
        <f>G29</f>
        <v>4.4824999997217674E-2</v>
      </c>
      <c r="O29">
        <f t="shared" ca="1" si="3"/>
        <v>4.8022965097748803E-2</v>
      </c>
      <c r="Q29" s="2">
        <f t="shared" si="4"/>
        <v>39738.8436</v>
      </c>
    </row>
    <row r="30" spans="1:22">
      <c r="A30" s="33" t="s">
        <v>38</v>
      </c>
      <c r="B30" s="34" t="s">
        <v>37</v>
      </c>
      <c r="C30" s="33">
        <v>54769.753100000002</v>
      </c>
      <c r="D30" s="33">
        <v>5.9999999999999995E-4</v>
      </c>
      <c r="E30">
        <f t="shared" si="0"/>
        <v>1709.0249959396665</v>
      </c>
      <c r="F30">
        <f t="shared" si="1"/>
        <v>1709</v>
      </c>
      <c r="G30">
        <f t="shared" si="2"/>
        <v>4.7709999998915009E-2</v>
      </c>
      <c r="K30">
        <f>G30</f>
        <v>4.7709999998915009E-2</v>
      </c>
      <c r="O30">
        <f t="shared" ca="1" si="3"/>
        <v>4.8197860985439912E-2</v>
      </c>
      <c r="Q30" s="2">
        <f t="shared" si="4"/>
        <v>39751.253100000002</v>
      </c>
    </row>
    <row r="31" spans="1:22">
      <c r="A31" s="36" t="s">
        <v>44</v>
      </c>
      <c r="B31" s="51"/>
      <c r="C31" s="37">
        <v>55491.256200000003</v>
      </c>
      <c r="D31" s="37">
        <v>3.0999999999999999E-3</v>
      </c>
      <c r="E31">
        <f t="shared" si="0"/>
        <v>2087.0306122983598</v>
      </c>
      <c r="F31">
        <f t="shared" si="1"/>
        <v>2087</v>
      </c>
      <c r="G31">
        <f t="shared" si="2"/>
        <v>5.843000000459142E-2</v>
      </c>
      <c r="J31">
        <f>G31</f>
        <v>5.843000000459142E-2</v>
      </c>
      <c r="O31">
        <f t="shared" ca="1" si="3"/>
        <v>5.8368729531168964E-2</v>
      </c>
      <c r="Q31" s="2">
        <f t="shared" si="4"/>
        <v>40472.756200000003</v>
      </c>
    </row>
    <row r="32" spans="1:22">
      <c r="A32" s="35" t="s">
        <v>41</v>
      </c>
      <c r="B32" s="34" t="s">
        <v>37</v>
      </c>
      <c r="C32" s="33">
        <v>55523.705099999999</v>
      </c>
      <c r="D32" s="33">
        <v>2.9999999999999997E-4</v>
      </c>
      <c r="E32">
        <f t="shared" si="0"/>
        <v>2104.0310471470252</v>
      </c>
      <c r="F32">
        <f t="shared" si="1"/>
        <v>2104</v>
      </c>
      <c r="G32">
        <f t="shared" si="2"/>
        <v>5.9260000001813751E-2</v>
      </c>
      <c r="K32">
        <f t="shared" ref="K32:K37" si="5">G32</f>
        <v>5.9260000001813751E-2</v>
      </c>
      <c r="O32">
        <f t="shared" ca="1" si="3"/>
        <v>5.8826149545130324E-2</v>
      </c>
      <c r="Q32" s="2">
        <f t="shared" si="4"/>
        <v>40505.205099999999</v>
      </c>
    </row>
    <row r="33" spans="1:17">
      <c r="A33" t="s">
        <v>131</v>
      </c>
      <c r="B33" s="3" t="s">
        <v>123</v>
      </c>
      <c r="C33" s="8">
        <v>55887.320200000002</v>
      </c>
      <c r="D33" t="s">
        <v>47</v>
      </c>
      <c r="E33">
        <f t="shared" si="0"/>
        <v>2294.5341094246905</v>
      </c>
      <c r="F33">
        <f t="shared" si="1"/>
        <v>2294.5</v>
      </c>
      <c r="G33">
        <f t="shared" si="2"/>
        <v>6.5105000001494773E-2</v>
      </c>
      <c r="K33">
        <f t="shared" si="5"/>
        <v>6.5105000001494773E-2</v>
      </c>
      <c r="O33">
        <f t="shared" ca="1" si="3"/>
        <v>6.3951944407462019E-2</v>
      </c>
      <c r="Q33" s="2">
        <f t="shared" si="4"/>
        <v>40868.820200000002</v>
      </c>
    </row>
    <row r="34" spans="1:17">
      <c r="A34" s="29" t="s">
        <v>43</v>
      </c>
      <c r="B34" s="30" t="s">
        <v>37</v>
      </c>
      <c r="C34" s="31">
        <v>56512.430829999998</v>
      </c>
      <c r="D34" s="31">
        <v>6.9999999999999999E-4</v>
      </c>
      <c r="E34">
        <f t="shared" si="0"/>
        <v>2622.0383557481214</v>
      </c>
      <c r="F34">
        <f t="shared" si="1"/>
        <v>2622</v>
      </c>
      <c r="G34">
        <f t="shared" si="2"/>
        <v>7.3209999995015096E-2</v>
      </c>
      <c r="K34">
        <f t="shared" si="5"/>
        <v>7.3209999995015096E-2</v>
      </c>
      <c r="O34">
        <f t="shared" ca="1" si="3"/>
        <v>7.2764006441129403E-2</v>
      </c>
      <c r="Q34" s="2">
        <f t="shared" si="4"/>
        <v>41493.930829999998</v>
      </c>
    </row>
    <row r="35" spans="1:17">
      <c r="A35" s="29" t="s">
        <v>43</v>
      </c>
      <c r="B35" s="30" t="s">
        <v>37</v>
      </c>
      <c r="C35" s="31">
        <v>56512.431199999999</v>
      </c>
      <c r="D35" s="31">
        <v>2.9999999999999997E-4</v>
      </c>
      <c r="E35">
        <f t="shared" si="0"/>
        <v>2622.0385495963233</v>
      </c>
      <c r="F35">
        <f t="shared" si="1"/>
        <v>2622</v>
      </c>
      <c r="G35">
        <f t="shared" si="2"/>
        <v>7.3579999996582046E-2</v>
      </c>
      <c r="K35">
        <f t="shared" si="5"/>
        <v>7.3579999996582046E-2</v>
      </c>
      <c r="O35">
        <f t="shared" ca="1" si="3"/>
        <v>7.2764006441129403E-2</v>
      </c>
      <c r="Q35" s="2">
        <f t="shared" si="4"/>
        <v>41493.931199999999</v>
      </c>
    </row>
    <row r="36" spans="1:17">
      <c r="A36" s="52" t="s">
        <v>0</v>
      </c>
      <c r="B36" s="53" t="s">
        <v>37</v>
      </c>
      <c r="C36" s="54">
        <v>57577.504999999997</v>
      </c>
      <c r="D36" s="61">
        <v>5.0000000000000001E-4</v>
      </c>
      <c r="E36">
        <f t="shared" si="0"/>
        <v>3180.0456853057808</v>
      </c>
      <c r="F36">
        <f t="shared" si="1"/>
        <v>3180</v>
      </c>
      <c r="G36">
        <f t="shared" si="2"/>
        <v>8.7199999994481914E-2</v>
      </c>
      <c r="K36">
        <f t="shared" si="5"/>
        <v>8.7199999994481914E-2</v>
      </c>
      <c r="O36">
        <f t="shared" ca="1" si="3"/>
        <v>8.7778145722919892E-2</v>
      </c>
      <c r="Q36" s="2">
        <f t="shared" si="4"/>
        <v>42559.004999999997</v>
      </c>
    </row>
    <row r="37" spans="1:17">
      <c r="A37" s="59" t="s">
        <v>136</v>
      </c>
      <c r="B37" s="60" t="s">
        <v>37</v>
      </c>
      <c r="C37" s="59">
        <v>59504.374400000001</v>
      </c>
      <c r="D37" s="59">
        <v>1.1999999999999999E-3</v>
      </c>
      <c r="E37">
        <f>+(C37-C$7)/C$8</f>
        <v>4189.5596502349754</v>
      </c>
      <c r="F37">
        <f t="shared" si="1"/>
        <v>4189.5</v>
      </c>
      <c r="G37">
        <f>+C37-(C$7+F37*C$8)</f>
        <v>0.113855000003241</v>
      </c>
      <c r="K37">
        <f t="shared" si="5"/>
        <v>0.113855000003241</v>
      </c>
      <c r="O37">
        <f ca="1">+C$11+C$12*$F37</f>
        <v>0.11494082243433121</v>
      </c>
      <c r="Q37" s="2">
        <f>+C37-15018.5</f>
        <v>44485.874400000001</v>
      </c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</sheetData>
  <phoneticPr fontId="8" type="noConversion"/>
  <hyperlinks>
    <hyperlink ref="H35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35"/>
  <sheetViews>
    <sheetView workbookViewId="0">
      <selection activeCell="H12" sqref="H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>
      <c r="A1" s="1" t="s">
        <v>33</v>
      </c>
      <c r="F1">
        <v>52501.220500000003</v>
      </c>
      <c r="G1">
        <v>1.9087371</v>
      </c>
      <c r="H1" t="s">
        <v>34</v>
      </c>
      <c r="I1" t="s">
        <v>35</v>
      </c>
    </row>
    <row r="2" spans="1:9">
      <c r="A2" t="s">
        <v>24</v>
      </c>
      <c r="B2" t="s">
        <v>34</v>
      </c>
      <c r="C2" s="3"/>
      <c r="D2" s="3"/>
      <c r="E2" t="s">
        <v>35</v>
      </c>
    </row>
    <row r="3" spans="1:9" ht="13.5" thickBot="1"/>
    <row r="4" spans="1:9" ht="13.5" thickBot="1">
      <c r="A4" s="5" t="s">
        <v>1</v>
      </c>
      <c r="C4" s="27">
        <v>51507.72</v>
      </c>
      <c r="D4" s="28">
        <v>1.9087099999999999</v>
      </c>
    </row>
    <row r="6" spans="1:9">
      <c r="A6" s="5" t="s">
        <v>2</v>
      </c>
    </row>
    <row r="7" spans="1:9">
      <c r="A7" t="s">
        <v>3</v>
      </c>
      <c r="C7">
        <v>57577.505946043297</v>
      </c>
    </row>
    <row r="8" spans="1:9">
      <c r="A8" t="s">
        <v>4</v>
      </c>
      <c r="C8">
        <v>1.9087370797005201</v>
      </c>
    </row>
    <row r="9" spans="1:9">
      <c r="A9" s="9" t="s">
        <v>26</v>
      </c>
      <c r="B9" s="10"/>
      <c r="C9" s="11">
        <v>8</v>
      </c>
      <c r="D9" s="10" t="s">
        <v>27</v>
      </c>
      <c r="E9" s="10"/>
    </row>
    <row r="10" spans="1:9" ht="13.5" thickBot="1">
      <c r="A10" s="10"/>
      <c r="B10" s="10"/>
      <c r="C10" s="4" t="s">
        <v>20</v>
      </c>
      <c r="D10" s="4" t="s">
        <v>21</v>
      </c>
      <c r="E10" s="10"/>
    </row>
    <row r="11" spans="1:9">
      <c r="A11" s="10" t="s">
        <v>16</v>
      </c>
      <c r="B11" s="10"/>
      <c r="C11" s="22">
        <f ca="1">INTERCEPT(INDIRECT($G$11):G987,INDIRECT($F$11):F987)</f>
        <v>-2.3861454972843546E-11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9">
      <c r="A12" s="10" t="s">
        <v>17</v>
      </c>
      <c r="B12" s="10"/>
      <c r="C12" s="22">
        <f ca="1">SLOPE(INDIRECT($G$11):G987,INDIRECT($F$11):F987)</f>
        <v>-5.0950920934833101E-15</v>
      </c>
      <c r="D12" s="3"/>
      <c r="E12" s="10"/>
    </row>
    <row r="13" spans="1:9">
      <c r="A13" s="10" t="s">
        <v>19</v>
      </c>
      <c r="B13" s="10"/>
      <c r="C13" s="3" t="s">
        <v>14</v>
      </c>
      <c r="D13" s="3"/>
      <c r="E13" s="10"/>
    </row>
    <row r="14" spans="1:9">
      <c r="A14" s="10"/>
      <c r="B14" s="10"/>
      <c r="C14" s="10"/>
      <c r="D14" s="10"/>
      <c r="E14" s="10"/>
    </row>
    <row r="15" spans="1:9">
      <c r="A15" s="12" t="s">
        <v>18</v>
      </c>
      <c r="B15" s="10"/>
      <c r="C15" s="13">
        <f ca="1">(C7+C11)+(C8+C12)*INT(MAX(F21:F3528))</f>
        <v>57577.505946043275</v>
      </c>
      <c r="D15" s="14" t="s">
        <v>28</v>
      </c>
      <c r="E15" s="15">
        <f ca="1">TODAY()+15018.5-B9/24</f>
        <v>60319.5</v>
      </c>
    </row>
    <row r="16" spans="1:9">
      <c r="A16" s="16" t="s">
        <v>5</v>
      </c>
      <c r="B16" s="10"/>
      <c r="C16" s="17">
        <f ca="1">+C8+C12</f>
        <v>1.908737079700515</v>
      </c>
      <c r="D16" s="14" t="s">
        <v>29</v>
      </c>
      <c r="E16" s="15">
        <f ca="1">ROUND(2*(E15-C15)/C16,0)/2+1</f>
        <v>1437.5</v>
      </c>
    </row>
    <row r="17" spans="1:17" ht="13.5" thickBot="1">
      <c r="A17" s="14" t="s">
        <v>25</v>
      </c>
      <c r="B17" s="10"/>
      <c r="C17" s="10">
        <f>COUNT(C21:C2186)</f>
        <v>16</v>
      </c>
      <c r="D17" s="14" t="s">
        <v>30</v>
      </c>
      <c r="E17" s="18">
        <f ca="1">+C15+C16*E16-15018.5-C9/24</f>
        <v>45302.482164779431</v>
      </c>
    </row>
    <row r="18" spans="1:17" ht="14.25" thickTop="1" thickBot="1">
      <c r="A18" s="16" t="s">
        <v>6</v>
      </c>
      <c r="B18" s="10"/>
      <c r="C18" s="19">
        <f ca="1">+C15</f>
        <v>57577.505946043275</v>
      </c>
      <c r="D18" s="20">
        <f ca="1">+C16</f>
        <v>1.908737079700515</v>
      </c>
      <c r="E18" s="21" t="s">
        <v>31</v>
      </c>
    </row>
    <row r="19" spans="1:17" ht="13.5" thickTop="1">
      <c r="A19" s="25" t="s">
        <v>32</v>
      </c>
      <c r="E19" s="26">
        <v>21</v>
      </c>
    </row>
    <row r="20" spans="1:17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128</v>
      </c>
      <c r="M20" s="7" t="s">
        <v>129</v>
      </c>
      <c r="N20" s="7" t="s">
        <v>125</v>
      </c>
      <c r="O20" s="7" t="s">
        <v>23</v>
      </c>
      <c r="P20" s="6" t="s">
        <v>22</v>
      </c>
      <c r="Q20" s="4" t="s">
        <v>15</v>
      </c>
    </row>
    <row r="21" spans="1:17">
      <c r="A21" s="24" t="s">
        <v>124</v>
      </c>
      <c r="B21" s="3" t="s">
        <v>37</v>
      </c>
      <c r="C21" s="8">
        <v>51032.447899999999</v>
      </c>
      <c r="D21" s="8" t="s">
        <v>55</v>
      </c>
      <c r="E21">
        <f t="shared" ref="E21:E36" si="0">+(C21-C$7)/C$8</f>
        <v>-3428.9992663998614</v>
      </c>
      <c r="F21">
        <f t="shared" ref="F21:F36" si="1">ROUND(2*E21,0)/2</f>
        <v>-3429</v>
      </c>
      <c r="G21">
        <f t="shared" ref="G21:G36" si="2">+C21-(C$7+F21*C$8)</f>
        <v>1.4002497846377082E-3</v>
      </c>
      <c r="K21">
        <f>G21</f>
        <v>1.4002497846377082E-3</v>
      </c>
      <c r="O21">
        <f t="shared" ref="O21:O36" ca="1" si="3">+C$11+C$12*$F21</f>
        <v>-6.3903841842892767E-12</v>
      </c>
      <c r="Q21" s="2">
        <f t="shared" ref="Q21:Q36" si="4">+C21-15018.5</f>
        <v>36013.947899999999</v>
      </c>
    </row>
    <row r="22" spans="1:17">
      <c r="A22" s="24" t="s">
        <v>124</v>
      </c>
      <c r="B22" s="3" t="s">
        <v>37</v>
      </c>
      <c r="C22" s="8">
        <v>51076.346899999997</v>
      </c>
      <c r="D22" s="8" t="s">
        <v>55</v>
      </c>
      <c r="E22">
        <f t="shared" si="0"/>
        <v>-3406.0002895020662</v>
      </c>
      <c r="F22">
        <f t="shared" si="1"/>
        <v>-3406</v>
      </c>
      <c r="G22">
        <f t="shared" si="2"/>
        <v>-5.5258332577068359E-4</v>
      </c>
      <c r="K22">
        <f>G22</f>
        <v>-5.5258332577068359E-4</v>
      </c>
      <c r="O22">
        <f t="shared" ca="1" si="3"/>
        <v>-6.5075713024393902E-12</v>
      </c>
      <c r="Q22" s="2">
        <f t="shared" si="4"/>
        <v>36057.846899999997</v>
      </c>
    </row>
    <row r="23" spans="1:17">
      <c r="A23" s="32" t="s">
        <v>39</v>
      </c>
      <c r="B23" s="34"/>
      <c r="C23" s="33">
        <v>51507.72</v>
      </c>
      <c r="D23" s="33"/>
      <c r="E23">
        <f t="shared" si="0"/>
        <v>-3180.0010648903212</v>
      </c>
      <c r="F23">
        <f t="shared" si="1"/>
        <v>-3180</v>
      </c>
      <c r="G23">
        <f t="shared" si="2"/>
        <v>-2.0325956429587677E-3</v>
      </c>
      <c r="J23">
        <f>G23</f>
        <v>-2.0325956429587677E-3</v>
      </c>
      <c r="O23">
        <f t="shared" ca="1" si="3"/>
        <v>-7.6590621155666189E-12</v>
      </c>
      <c r="Q23" s="2">
        <f t="shared" si="4"/>
        <v>36489.22</v>
      </c>
    </row>
    <row r="24" spans="1:17">
      <c r="A24" s="24" t="s">
        <v>70</v>
      </c>
      <c r="B24" s="3" t="s">
        <v>123</v>
      </c>
      <c r="C24" s="8">
        <v>52205.365400000002</v>
      </c>
      <c r="D24" s="8" t="s">
        <v>55</v>
      </c>
      <c r="E24">
        <f t="shared" si="0"/>
        <v>-2814.5000184552291</v>
      </c>
      <c r="F24">
        <f t="shared" si="1"/>
        <v>-2814.5</v>
      </c>
      <c r="G24">
        <f t="shared" si="2"/>
        <v>-3.5226177715230733E-5</v>
      </c>
      <c r="K24">
        <f>G24</f>
        <v>-3.5226177715230733E-5</v>
      </c>
      <c r="O24">
        <f t="shared" ca="1" si="3"/>
        <v>-9.5213182757347697E-12</v>
      </c>
      <c r="Q24" s="2">
        <f t="shared" si="4"/>
        <v>37186.865400000002</v>
      </c>
    </row>
    <row r="25" spans="1:17">
      <c r="A25" s="32" t="s">
        <v>40</v>
      </c>
      <c r="B25" s="34"/>
      <c r="C25" s="33">
        <v>52501.220500000003</v>
      </c>
      <c r="D25" s="33" t="s">
        <v>14</v>
      </c>
      <c r="E25">
        <f t="shared" si="0"/>
        <v>-2659.4995717481215</v>
      </c>
      <c r="F25">
        <f t="shared" si="1"/>
        <v>-2659.5</v>
      </c>
      <c r="G25">
        <f t="shared" si="2"/>
        <v>8.174202375812456E-4</v>
      </c>
      <c r="K25">
        <f>G25</f>
        <v>8.174202375812456E-4</v>
      </c>
      <c r="O25">
        <f t="shared" ca="1" si="3"/>
        <v>-1.0311057550224682E-11</v>
      </c>
      <c r="Q25" s="2">
        <f t="shared" si="4"/>
        <v>37482.720500000003</v>
      </c>
    </row>
    <row r="26" spans="1:17">
      <c r="A26" s="33" t="s">
        <v>36</v>
      </c>
      <c r="B26" s="34" t="s">
        <v>37</v>
      </c>
      <c r="C26" s="33">
        <v>54026.300999999999</v>
      </c>
      <c r="D26" s="33">
        <v>4.3E-3</v>
      </c>
      <c r="E26">
        <f t="shared" si="0"/>
        <v>-1860.4997952889769</v>
      </c>
      <c r="F26">
        <f t="shared" si="1"/>
        <v>-1860.5</v>
      </c>
      <c r="G26">
        <f t="shared" si="2"/>
        <v>3.9073952211765572E-4</v>
      </c>
      <c r="J26">
        <f>G26</f>
        <v>3.9073952211765572E-4</v>
      </c>
      <c r="O26">
        <f t="shared" ca="1" si="3"/>
        <v>-1.4382036132917847E-11</v>
      </c>
      <c r="Q26" s="2">
        <f t="shared" si="4"/>
        <v>39007.800999999999</v>
      </c>
    </row>
    <row r="27" spans="1:17">
      <c r="A27" s="24" t="s">
        <v>82</v>
      </c>
      <c r="B27" s="3" t="s">
        <v>123</v>
      </c>
      <c r="C27" s="8">
        <v>54360.331299999998</v>
      </c>
      <c r="D27" s="8" t="s">
        <v>55</v>
      </c>
      <c r="E27">
        <f t="shared" si="0"/>
        <v>-1685.499108419936</v>
      </c>
      <c r="F27">
        <f t="shared" si="1"/>
        <v>-1685.5</v>
      </c>
      <c r="G27">
        <f t="shared" si="2"/>
        <v>1.7017919308273122E-3</v>
      </c>
      <c r="K27">
        <f>G27</f>
        <v>1.7017919308273122E-3</v>
      </c>
      <c r="O27">
        <f t="shared" ca="1" si="3"/>
        <v>-1.5273677249277426E-11</v>
      </c>
      <c r="Q27" s="2">
        <f t="shared" si="4"/>
        <v>39341.831299999998</v>
      </c>
    </row>
    <row r="28" spans="1:17">
      <c r="A28" s="24" t="s">
        <v>82</v>
      </c>
      <c r="B28" s="3" t="s">
        <v>123</v>
      </c>
      <c r="C28" s="8">
        <v>54423.319300000003</v>
      </c>
      <c r="D28" s="8" t="s">
        <v>55</v>
      </c>
      <c r="E28">
        <f t="shared" si="0"/>
        <v>-1652.4992779718955</v>
      </c>
      <c r="F28">
        <f t="shared" si="1"/>
        <v>-1652.5</v>
      </c>
      <c r="G28">
        <f t="shared" si="2"/>
        <v>1.3781618181383237E-3</v>
      </c>
      <c r="K28">
        <f>G28</f>
        <v>1.3781618181383237E-3</v>
      </c>
      <c r="O28">
        <f t="shared" ca="1" si="3"/>
        <v>-1.5441815288362375E-11</v>
      </c>
      <c r="Q28" s="2">
        <f t="shared" si="4"/>
        <v>39404.819300000003</v>
      </c>
    </row>
    <row r="29" spans="1:17">
      <c r="A29" s="24" t="s">
        <v>93</v>
      </c>
      <c r="B29" s="3" t="s">
        <v>123</v>
      </c>
      <c r="C29" s="8">
        <v>54757.3436</v>
      </c>
      <c r="D29" s="8" t="s">
        <v>55</v>
      </c>
      <c r="E29">
        <f t="shared" si="0"/>
        <v>-1477.5017345426006</v>
      </c>
      <c r="F29">
        <f t="shared" si="1"/>
        <v>-1477.5</v>
      </c>
      <c r="G29">
        <f t="shared" si="2"/>
        <v>-3.3107857816503383E-3</v>
      </c>
      <c r="K29">
        <f>G29</f>
        <v>-3.3107857816503383E-3</v>
      </c>
      <c r="O29">
        <f t="shared" ca="1" si="3"/>
        <v>-1.6333456404721956E-11</v>
      </c>
      <c r="Q29" s="2">
        <f t="shared" si="4"/>
        <v>39738.8436</v>
      </c>
    </row>
    <row r="30" spans="1:17">
      <c r="A30" s="33" t="s">
        <v>38</v>
      </c>
      <c r="B30" s="34" t="s">
        <v>37</v>
      </c>
      <c r="C30" s="33">
        <v>54769.753100000002</v>
      </c>
      <c r="D30" s="33">
        <v>5.9999999999999995E-4</v>
      </c>
      <c r="E30">
        <f t="shared" si="0"/>
        <v>-1471.0003152890131</v>
      </c>
      <c r="F30">
        <f t="shared" si="1"/>
        <v>-1471</v>
      </c>
      <c r="G30">
        <f t="shared" si="2"/>
        <v>-6.0180383297847584E-4</v>
      </c>
      <c r="K30">
        <f>G30</f>
        <v>-6.0180383297847584E-4</v>
      </c>
      <c r="O30">
        <f t="shared" ca="1" si="3"/>
        <v>-1.6366574503329597E-11</v>
      </c>
      <c r="Q30" s="2">
        <f t="shared" si="4"/>
        <v>39751.253100000002</v>
      </c>
    </row>
    <row r="31" spans="1:17">
      <c r="A31" s="36" t="s">
        <v>44</v>
      </c>
      <c r="B31" s="51"/>
      <c r="C31" s="37">
        <v>55491.256200000003</v>
      </c>
      <c r="D31" s="37">
        <v>3.0999999999999999E-3</v>
      </c>
      <c r="E31">
        <f t="shared" si="0"/>
        <v>-1093.0000617846356</v>
      </c>
      <c r="F31">
        <f t="shared" si="1"/>
        <v>-1093</v>
      </c>
      <c r="G31">
        <f t="shared" si="2"/>
        <v>-1.1793062731157988E-4</v>
      </c>
      <c r="J31">
        <f>G31</f>
        <v>-1.1793062731157988E-4</v>
      </c>
      <c r="O31">
        <f t="shared" ca="1" si="3"/>
        <v>-1.8292519314666286E-11</v>
      </c>
      <c r="Q31" s="2">
        <f t="shared" si="4"/>
        <v>40472.756200000003</v>
      </c>
    </row>
    <row r="32" spans="1:17">
      <c r="A32" s="35" t="s">
        <v>41</v>
      </c>
      <c r="B32" s="34" t="s">
        <v>37</v>
      </c>
      <c r="C32" s="33">
        <v>55523.705099999999</v>
      </c>
      <c r="D32" s="33">
        <v>2.9999999999999997E-4</v>
      </c>
      <c r="E32">
        <f t="shared" si="0"/>
        <v>-1075.9998681251259</v>
      </c>
      <c r="F32">
        <f t="shared" si="1"/>
        <v>-1076</v>
      </c>
      <c r="G32">
        <f t="shared" si="2"/>
        <v>2.517144603189081E-4</v>
      </c>
      <c r="K32">
        <f>G32</f>
        <v>2.517144603189081E-4</v>
      </c>
      <c r="O32">
        <f t="shared" ca="1" si="3"/>
        <v>-1.8379135880255503E-11</v>
      </c>
      <c r="Q32" s="2">
        <f t="shared" si="4"/>
        <v>40505.205099999999</v>
      </c>
    </row>
    <row r="33" spans="1:17">
      <c r="A33" s="24" t="s">
        <v>113</v>
      </c>
      <c r="B33" s="3" t="s">
        <v>123</v>
      </c>
      <c r="C33" s="8">
        <v>55887.320200000002</v>
      </c>
      <c r="D33" s="8" t="s">
        <v>55</v>
      </c>
      <c r="E33">
        <f t="shared" si="0"/>
        <v>-885.49950855907514</v>
      </c>
      <c r="F33">
        <f t="shared" si="1"/>
        <v>-885.5</v>
      </c>
      <c r="G33">
        <f t="shared" si="2"/>
        <v>9.3803151685278863E-4</v>
      </c>
      <c r="K33">
        <f>G33</f>
        <v>9.3803151685278863E-4</v>
      </c>
      <c r="O33">
        <f t="shared" ca="1" si="3"/>
        <v>-1.9349750924064075E-11</v>
      </c>
      <c r="Q33" s="2">
        <f t="shared" si="4"/>
        <v>40868.820200000002</v>
      </c>
    </row>
    <row r="34" spans="1:17">
      <c r="A34" s="29" t="s">
        <v>43</v>
      </c>
      <c r="B34" s="30" t="s">
        <v>37</v>
      </c>
      <c r="C34" s="31">
        <v>56512.430829999998</v>
      </c>
      <c r="D34" s="31">
        <v>6.9999999999999999E-4</v>
      </c>
      <c r="E34">
        <f t="shared" si="0"/>
        <v>-557.99990861518177</v>
      </c>
      <c r="F34">
        <f t="shared" si="1"/>
        <v>-558</v>
      </c>
      <c r="G34">
        <f t="shared" si="2"/>
        <v>1.7442958778701723E-4</v>
      </c>
      <c r="K34">
        <f>G34</f>
        <v>1.7442958778701723E-4</v>
      </c>
      <c r="O34">
        <f t="shared" ca="1" si="3"/>
        <v>-2.1018393584679858E-11</v>
      </c>
      <c r="Q34" s="2">
        <f t="shared" si="4"/>
        <v>41493.930829999998</v>
      </c>
    </row>
    <row r="35" spans="1:17">
      <c r="A35" s="29" t="s">
        <v>43</v>
      </c>
      <c r="B35" s="30" t="s">
        <v>37</v>
      </c>
      <c r="C35" s="31">
        <v>56512.431199999999</v>
      </c>
      <c r="D35" s="31">
        <v>2.9999999999999997E-4</v>
      </c>
      <c r="E35">
        <f t="shared" si="0"/>
        <v>-557.99971476972996</v>
      </c>
      <c r="F35">
        <f t="shared" si="1"/>
        <v>-558</v>
      </c>
      <c r="G35">
        <f t="shared" si="2"/>
        <v>5.4442958935396746E-4</v>
      </c>
      <c r="K35">
        <f>G35</f>
        <v>5.4442958935396746E-4</v>
      </c>
      <c r="O35">
        <f t="shared" ca="1" si="3"/>
        <v>-2.1018393584679858E-11</v>
      </c>
      <c r="Q35" s="2">
        <f t="shared" si="4"/>
        <v>41493.931199999999</v>
      </c>
    </row>
    <row r="36" spans="1:17">
      <c r="A36" s="52" t="s">
        <v>0</v>
      </c>
      <c r="B36" s="53" t="s">
        <v>37</v>
      </c>
      <c r="C36" s="54">
        <v>57577.504999999997</v>
      </c>
      <c r="D36" s="54">
        <v>5.0000000000000001E-4</v>
      </c>
      <c r="E36">
        <f t="shared" si="0"/>
        <v>-4.9563835134637079E-4</v>
      </c>
      <c r="F36">
        <f t="shared" si="1"/>
        <v>0</v>
      </c>
      <c r="G36">
        <f t="shared" si="2"/>
        <v>-9.4604329933645204E-4</v>
      </c>
      <c r="K36">
        <f>G36</f>
        <v>-9.4604329933645204E-4</v>
      </c>
      <c r="O36">
        <f t="shared" ca="1" si="3"/>
        <v>-2.3861454972843546E-11</v>
      </c>
      <c r="Q36" s="2">
        <f t="shared" si="4"/>
        <v>42559.004999999997</v>
      </c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35"/>
  <sheetViews>
    <sheetView workbookViewId="0">
      <selection activeCell="C8" sqref="C8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>
      <c r="A1" s="1" t="s">
        <v>33</v>
      </c>
      <c r="F1">
        <v>52501.220500000003</v>
      </c>
      <c r="G1">
        <v>1.9087371</v>
      </c>
      <c r="H1" t="s">
        <v>34</v>
      </c>
      <c r="I1" t="s">
        <v>35</v>
      </c>
    </row>
    <row r="2" spans="1:9">
      <c r="A2" t="s">
        <v>24</v>
      </c>
      <c r="B2" t="s">
        <v>34</v>
      </c>
      <c r="C2" s="3"/>
      <c r="D2" s="3"/>
      <c r="E2" t="s">
        <v>35</v>
      </c>
    </row>
    <row r="3" spans="1:9" ht="13.5" thickBot="1"/>
    <row r="4" spans="1:9" ht="13.5" thickBot="1">
      <c r="A4" s="5" t="s">
        <v>1</v>
      </c>
      <c r="C4" s="27">
        <v>51507.72</v>
      </c>
      <c r="D4" s="28">
        <v>1.9087099999999999</v>
      </c>
    </row>
    <row r="6" spans="1:9">
      <c r="A6" s="5" t="s">
        <v>2</v>
      </c>
    </row>
    <row r="7" spans="1:9">
      <c r="A7" t="s">
        <v>3</v>
      </c>
      <c r="C7">
        <v>57577.505946043275</v>
      </c>
    </row>
    <row r="8" spans="1:9">
      <c r="A8" t="s">
        <v>4</v>
      </c>
      <c r="C8">
        <v>1.9087370797005156</v>
      </c>
    </row>
    <row r="9" spans="1:9">
      <c r="A9" s="9" t="s">
        <v>26</v>
      </c>
      <c r="B9" s="10"/>
      <c r="C9" s="11">
        <v>8</v>
      </c>
      <c r="D9" s="10" t="s">
        <v>27</v>
      </c>
      <c r="E9" s="10"/>
    </row>
    <row r="10" spans="1:9" ht="13.5" thickBot="1">
      <c r="A10" s="10"/>
      <c r="B10" s="10"/>
      <c r="C10" s="4" t="s">
        <v>20</v>
      </c>
      <c r="D10" s="4" t="s">
        <v>21</v>
      </c>
      <c r="E10" s="10"/>
    </row>
    <row r="11" spans="1:9">
      <c r="A11" s="10" t="s">
        <v>16</v>
      </c>
      <c r="B11" s="10"/>
      <c r="C11" s="22">
        <f ca="1">INTERCEPT(INDIRECT($G$11):G987,INDIRECT($F$11):F987)</f>
        <v>6.9677643341629691E-13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9">
      <c r="A12" s="10" t="s">
        <v>17</v>
      </c>
      <c r="B12" s="10"/>
      <c r="C12" s="22">
        <f ca="1">SLOPE(INDIRECT($G$11):G987,INDIRECT($F$11):F987)</f>
        <v>-1.2239916184007703E-16</v>
      </c>
      <c r="D12" s="3"/>
      <c r="E12" s="10"/>
    </row>
    <row r="13" spans="1:9">
      <c r="A13" s="10" t="s">
        <v>19</v>
      </c>
      <c r="B13" s="10"/>
      <c r="C13" s="3" t="s">
        <v>14</v>
      </c>
      <c r="D13" s="3"/>
      <c r="E13" s="10"/>
    </row>
    <row r="14" spans="1:9">
      <c r="A14" s="10"/>
      <c r="B14" s="10"/>
      <c r="C14" s="10"/>
      <c r="D14" s="10"/>
      <c r="E14" s="10"/>
    </row>
    <row r="15" spans="1:9">
      <c r="A15" s="12" t="s">
        <v>18</v>
      </c>
      <c r="B15" s="10"/>
      <c r="C15" s="13">
        <f ca="1">(C7+C11)+(C8+C12)*INT(MAX(F21:F3528))</f>
        <v>57577.505946043275</v>
      </c>
      <c r="D15" s="14" t="s">
        <v>28</v>
      </c>
      <c r="E15" s="15">
        <f ca="1">TODAY()+15018.5-B9/24</f>
        <v>60319.5</v>
      </c>
    </row>
    <row r="16" spans="1:9">
      <c r="A16" s="16" t="s">
        <v>5</v>
      </c>
      <c r="B16" s="10"/>
      <c r="C16" s="17">
        <f ca="1">+C8+C12</f>
        <v>1.9087370797005154</v>
      </c>
      <c r="D16" s="14" t="s">
        <v>29</v>
      </c>
      <c r="E16" s="15">
        <f ca="1">ROUND(2*(E15-C15)/C16,0)/2+1</f>
        <v>1437.5</v>
      </c>
    </row>
    <row r="17" spans="1:17" ht="13.5" thickBot="1">
      <c r="A17" s="14" t="s">
        <v>25</v>
      </c>
      <c r="B17" s="10"/>
      <c r="C17" s="10">
        <f>COUNT(C21:C2186)</f>
        <v>16</v>
      </c>
      <c r="D17" s="14" t="s">
        <v>30</v>
      </c>
      <c r="E17" s="18">
        <f ca="1">+C15+C16*E16-15018.5-C9/24</f>
        <v>45302.482164779431</v>
      </c>
    </row>
    <row r="18" spans="1:17" ht="14.25" thickTop="1" thickBot="1">
      <c r="A18" s="16" t="s">
        <v>6</v>
      </c>
      <c r="B18" s="10"/>
      <c r="C18" s="19">
        <f ca="1">+C15</f>
        <v>57577.505946043275</v>
      </c>
      <c r="D18" s="20">
        <f ca="1">+C16</f>
        <v>1.9087370797005154</v>
      </c>
      <c r="E18" s="21" t="s">
        <v>31</v>
      </c>
    </row>
    <row r="19" spans="1:17" ht="13.5" thickTop="1">
      <c r="A19" s="25" t="s">
        <v>32</v>
      </c>
      <c r="E19" s="26">
        <v>21</v>
      </c>
    </row>
    <row r="20" spans="1:17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128</v>
      </c>
      <c r="M20" s="7" t="s">
        <v>129</v>
      </c>
      <c r="N20" s="7" t="s">
        <v>125</v>
      </c>
      <c r="O20" s="7" t="s">
        <v>23</v>
      </c>
      <c r="P20" s="6" t="s">
        <v>22</v>
      </c>
      <c r="Q20" s="4" t="s">
        <v>15</v>
      </c>
    </row>
    <row r="21" spans="1:17">
      <c r="A21" s="24" t="s">
        <v>124</v>
      </c>
      <c r="B21" s="3" t="s">
        <v>37</v>
      </c>
      <c r="C21" s="8">
        <v>51032.447899999999</v>
      </c>
      <c r="D21" s="8" t="s">
        <v>55</v>
      </c>
      <c r="E21">
        <f t="shared" ref="E21:E36" si="0">+(C21-C$7)/C$8</f>
        <v>-3428.9992663998582</v>
      </c>
      <c r="F21">
        <f t="shared" ref="F21:F36" si="1">ROUND(2*E21,0)/2</f>
        <v>-3429</v>
      </c>
      <c r="G21">
        <f t="shared" ref="G21:G36" si="2">+C21-(C$7+F21*C$8)</f>
        <v>1.4002497919136658E-3</v>
      </c>
      <c r="K21">
        <f>G21</f>
        <v>1.4002497919136658E-3</v>
      </c>
      <c r="O21">
        <f t="shared" ref="O21:O36" ca="1" si="3">+C$11+C$12*$F21</f>
        <v>1.116483159365921E-12</v>
      </c>
      <c r="Q21" s="2">
        <f t="shared" ref="Q21:Q36" si="4">+C21-15018.5</f>
        <v>36013.947899999999</v>
      </c>
    </row>
    <row r="22" spans="1:17">
      <c r="A22" s="24" t="s">
        <v>124</v>
      </c>
      <c r="B22" s="3" t="s">
        <v>37</v>
      </c>
      <c r="C22" s="8">
        <v>51076.346899999997</v>
      </c>
      <c r="D22" s="8" t="s">
        <v>55</v>
      </c>
      <c r="E22">
        <f t="shared" si="0"/>
        <v>-3406.0002895020625</v>
      </c>
      <c r="F22">
        <f t="shared" si="1"/>
        <v>-3406</v>
      </c>
      <c r="G22">
        <f t="shared" si="2"/>
        <v>-5.5258331849472597E-4</v>
      </c>
      <c r="K22">
        <f>G22</f>
        <v>-5.5258331849472597E-4</v>
      </c>
      <c r="O22">
        <f t="shared" ca="1" si="3"/>
        <v>1.1136679786435992E-12</v>
      </c>
      <c r="Q22" s="2">
        <f t="shared" si="4"/>
        <v>36057.846899999997</v>
      </c>
    </row>
    <row r="23" spans="1:17">
      <c r="A23" s="32" t="s">
        <v>39</v>
      </c>
      <c r="B23" s="34"/>
      <c r="C23" s="33">
        <v>51507.72</v>
      </c>
      <c r="D23" s="33"/>
      <c r="E23">
        <f t="shared" si="0"/>
        <v>-3180.0010648903171</v>
      </c>
      <c r="F23">
        <f t="shared" si="1"/>
        <v>-3180</v>
      </c>
      <c r="G23">
        <f t="shared" si="2"/>
        <v>-2.0325956356828101E-3</v>
      </c>
      <c r="J23">
        <f>G23</f>
        <v>-2.0325956356828101E-3</v>
      </c>
      <c r="O23">
        <f t="shared" ca="1" si="3"/>
        <v>1.0860057680677419E-12</v>
      </c>
      <c r="Q23" s="2">
        <f t="shared" si="4"/>
        <v>36489.22</v>
      </c>
    </row>
    <row r="24" spans="1:17">
      <c r="A24" s="24" t="s">
        <v>70</v>
      </c>
      <c r="B24" s="3" t="s">
        <v>123</v>
      </c>
      <c r="C24" s="8">
        <v>52205.365400000002</v>
      </c>
      <c r="D24" s="8" t="s">
        <v>55</v>
      </c>
      <c r="E24">
        <f t="shared" si="0"/>
        <v>-2814.5000184552246</v>
      </c>
      <c r="F24">
        <f t="shared" si="1"/>
        <v>-2814.5</v>
      </c>
      <c r="G24">
        <f t="shared" si="2"/>
        <v>-3.5226170439273119E-5</v>
      </c>
      <c r="K24">
        <f>G24</f>
        <v>-3.5226170439273119E-5</v>
      </c>
      <c r="O24">
        <f t="shared" ca="1" si="3"/>
        <v>1.0412688744151936E-12</v>
      </c>
      <c r="Q24" s="2">
        <f t="shared" si="4"/>
        <v>37186.865400000002</v>
      </c>
    </row>
    <row r="25" spans="1:17">
      <c r="A25" s="32" t="s">
        <v>40</v>
      </c>
      <c r="B25" s="34"/>
      <c r="C25" s="33">
        <v>52501.220500000003</v>
      </c>
      <c r="D25" s="33" t="s">
        <v>14</v>
      </c>
      <c r="E25">
        <f t="shared" si="0"/>
        <v>-2659.4995717481165</v>
      </c>
      <c r="F25">
        <f t="shared" si="1"/>
        <v>-2659.5</v>
      </c>
      <c r="G25">
        <f t="shared" si="2"/>
        <v>8.1742025213316083E-4</v>
      </c>
      <c r="K25">
        <f>G25</f>
        <v>8.1742025213316083E-4</v>
      </c>
      <c r="O25">
        <f t="shared" ca="1" si="3"/>
        <v>1.0222970043299818E-12</v>
      </c>
      <c r="Q25" s="2">
        <f t="shared" si="4"/>
        <v>37482.720500000003</v>
      </c>
    </row>
    <row r="26" spans="1:17">
      <c r="A26" s="33" t="s">
        <v>36</v>
      </c>
      <c r="B26" s="34" t="s">
        <v>37</v>
      </c>
      <c r="C26" s="33">
        <v>54026.300999999999</v>
      </c>
      <c r="D26" s="33">
        <v>4.3E-3</v>
      </c>
      <c r="E26">
        <f t="shared" si="0"/>
        <v>-1860.4997952889698</v>
      </c>
      <c r="F26">
        <f t="shared" si="1"/>
        <v>-1860.5</v>
      </c>
      <c r="G26">
        <f t="shared" si="2"/>
        <v>3.9073953666957095E-4</v>
      </c>
      <c r="J26">
        <f>G26</f>
        <v>3.9073953666957095E-4</v>
      </c>
      <c r="O26">
        <f t="shared" ca="1" si="3"/>
        <v>9.2450007401976027E-13</v>
      </c>
      <c r="Q26" s="2">
        <f t="shared" si="4"/>
        <v>39007.800999999999</v>
      </c>
    </row>
    <row r="27" spans="1:17">
      <c r="A27" s="24" t="s">
        <v>82</v>
      </c>
      <c r="B27" s="3" t="s">
        <v>123</v>
      </c>
      <c r="C27" s="8">
        <v>54360.331299999998</v>
      </c>
      <c r="D27" s="8" t="s">
        <v>55</v>
      </c>
      <c r="E27">
        <f t="shared" si="0"/>
        <v>-1685.4991084199285</v>
      </c>
      <c r="F27">
        <f t="shared" si="1"/>
        <v>-1685.5</v>
      </c>
      <c r="G27">
        <f t="shared" si="2"/>
        <v>1.7017919453792274E-3</v>
      </c>
      <c r="K27">
        <f>G27</f>
        <v>1.7017919453792274E-3</v>
      </c>
      <c r="O27">
        <f t="shared" ca="1" si="3"/>
        <v>9.0308022069774675E-13</v>
      </c>
      <c r="Q27" s="2">
        <f t="shared" si="4"/>
        <v>39341.831299999998</v>
      </c>
    </row>
    <row r="28" spans="1:17">
      <c r="A28" s="24" t="s">
        <v>82</v>
      </c>
      <c r="B28" s="3" t="s">
        <v>123</v>
      </c>
      <c r="C28" s="8">
        <v>54423.319300000003</v>
      </c>
      <c r="D28" s="8" t="s">
        <v>55</v>
      </c>
      <c r="E28">
        <f t="shared" si="0"/>
        <v>-1652.499277971888</v>
      </c>
      <c r="F28">
        <f t="shared" si="1"/>
        <v>-1652.5</v>
      </c>
      <c r="G28">
        <f t="shared" si="2"/>
        <v>1.378161832690239E-3</v>
      </c>
      <c r="K28">
        <f>G28</f>
        <v>1.378161832690239E-3</v>
      </c>
      <c r="O28">
        <f t="shared" ca="1" si="3"/>
        <v>8.990410483570242E-13</v>
      </c>
      <c r="Q28" s="2">
        <f t="shared" si="4"/>
        <v>39404.819300000003</v>
      </c>
    </row>
    <row r="29" spans="1:17">
      <c r="A29" s="24" t="s">
        <v>93</v>
      </c>
      <c r="B29" s="3" t="s">
        <v>123</v>
      </c>
      <c r="C29" s="8">
        <v>54757.3436</v>
      </c>
      <c r="D29" s="8" t="s">
        <v>55</v>
      </c>
      <c r="E29">
        <f t="shared" si="0"/>
        <v>-1477.5017345425927</v>
      </c>
      <c r="F29">
        <f t="shared" si="1"/>
        <v>-1477.5</v>
      </c>
      <c r="G29">
        <f t="shared" si="2"/>
        <v>-3.3107857598224655E-3</v>
      </c>
      <c r="K29">
        <f>G29</f>
        <v>-3.3107857598224655E-3</v>
      </c>
      <c r="O29">
        <f t="shared" ca="1" si="3"/>
        <v>8.7762119503501068E-13</v>
      </c>
      <c r="Q29" s="2">
        <f t="shared" si="4"/>
        <v>39738.8436</v>
      </c>
    </row>
    <row r="30" spans="1:17">
      <c r="A30" s="33" t="s">
        <v>38</v>
      </c>
      <c r="B30" s="34" t="s">
        <v>37</v>
      </c>
      <c r="C30" s="33">
        <v>54769.753100000002</v>
      </c>
      <c r="D30" s="33">
        <v>5.9999999999999995E-4</v>
      </c>
      <c r="E30">
        <f t="shared" si="0"/>
        <v>-1471.0003152890049</v>
      </c>
      <c r="F30">
        <f t="shared" si="1"/>
        <v>-1471</v>
      </c>
      <c r="G30">
        <f t="shared" si="2"/>
        <v>-6.01803811150603E-4</v>
      </c>
      <c r="K30">
        <f>G30</f>
        <v>-6.01803811150603E-4</v>
      </c>
      <c r="O30">
        <f t="shared" ca="1" si="3"/>
        <v>8.7682560048305025E-13</v>
      </c>
      <c r="Q30" s="2">
        <f t="shared" si="4"/>
        <v>39751.253100000002</v>
      </c>
    </row>
    <row r="31" spans="1:17">
      <c r="A31" s="36" t="s">
        <v>44</v>
      </c>
      <c r="B31" s="51"/>
      <c r="C31" s="37">
        <v>55491.256200000003</v>
      </c>
      <c r="D31" s="37">
        <v>3.0999999999999999E-3</v>
      </c>
      <c r="E31">
        <f t="shared" si="0"/>
        <v>-1093.0000617846267</v>
      </c>
      <c r="F31">
        <f t="shared" si="1"/>
        <v>-1093</v>
      </c>
      <c r="G31">
        <f t="shared" si="2"/>
        <v>-1.1793060548370704E-4</v>
      </c>
      <c r="J31">
        <f>G31</f>
        <v>-1.1793060548370704E-4</v>
      </c>
      <c r="O31">
        <f t="shared" ca="1" si="3"/>
        <v>8.3055871730750113E-13</v>
      </c>
      <c r="Q31" s="2">
        <f t="shared" si="4"/>
        <v>40472.756200000003</v>
      </c>
    </row>
    <row r="32" spans="1:17">
      <c r="A32" s="35" t="s">
        <v>41</v>
      </c>
      <c r="B32" s="34" t="s">
        <v>37</v>
      </c>
      <c r="C32" s="33">
        <v>55523.705099999999</v>
      </c>
      <c r="D32" s="33">
        <v>2.9999999999999997E-4</v>
      </c>
      <c r="E32">
        <f t="shared" si="0"/>
        <v>-1075.999868125117</v>
      </c>
      <c r="F32">
        <f t="shared" si="1"/>
        <v>-1076</v>
      </c>
      <c r="G32">
        <f t="shared" si="2"/>
        <v>2.5171448214678094E-4</v>
      </c>
      <c r="K32">
        <f>G32</f>
        <v>2.5171448214678094E-4</v>
      </c>
      <c r="O32">
        <f t="shared" ca="1" si="3"/>
        <v>8.2847793155621974E-13</v>
      </c>
      <c r="Q32" s="2">
        <f t="shared" si="4"/>
        <v>40505.205099999999</v>
      </c>
    </row>
    <row r="33" spans="1:17">
      <c r="A33" s="24" t="s">
        <v>113</v>
      </c>
      <c r="B33" s="3" t="s">
        <v>123</v>
      </c>
      <c r="C33" s="8">
        <v>55887.320200000002</v>
      </c>
      <c r="D33" s="8" t="s">
        <v>55</v>
      </c>
      <c r="E33">
        <f t="shared" si="0"/>
        <v>-885.49950855906582</v>
      </c>
      <c r="F33">
        <f t="shared" si="1"/>
        <v>-885.5</v>
      </c>
      <c r="G33">
        <f t="shared" si="2"/>
        <v>9.3803153140470386E-4</v>
      </c>
      <c r="K33">
        <f>G33</f>
        <v>9.3803153140470386E-4</v>
      </c>
      <c r="O33">
        <f t="shared" ca="1" si="3"/>
        <v>8.0516089122568518E-13</v>
      </c>
      <c r="Q33" s="2">
        <f t="shared" si="4"/>
        <v>40868.820200000002</v>
      </c>
    </row>
    <row r="34" spans="1:17">
      <c r="A34" s="29" t="s">
        <v>43</v>
      </c>
      <c r="B34" s="30" t="s">
        <v>37</v>
      </c>
      <c r="C34" s="31">
        <v>56512.430829999998</v>
      </c>
      <c r="D34" s="31">
        <v>6.9999999999999999E-4</v>
      </c>
      <c r="E34">
        <f t="shared" si="0"/>
        <v>-557.99990861517165</v>
      </c>
      <c r="F34">
        <f t="shared" si="1"/>
        <v>-558</v>
      </c>
      <c r="G34">
        <f t="shared" si="2"/>
        <v>1.7442960961489007E-4</v>
      </c>
      <c r="K34">
        <f>G34</f>
        <v>1.7442960961489007E-4</v>
      </c>
      <c r="O34">
        <f t="shared" ca="1" si="3"/>
        <v>7.6507516572305992E-13</v>
      </c>
      <c r="Q34" s="2">
        <f t="shared" si="4"/>
        <v>41493.930829999998</v>
      </c>
    </row>
    <row r="35" spans="1:17">
      <c r="A35" s="29" t="s">
        <v>43</v>
      </c>
      <c r="B35" s="30" t="s">
        <v>37</v>
      </c>
      <c r="C35" s="31">
        <v>56512.431199999999</v>
      </c>
      <c r="D35" s="31">
        <v>2.9999999999999997E-4</v>
      </c>
      <c r="E35">
        <f t="shared" si="0"/>
        <v>-557.99971476971984</v>
      </c>
      <c r="F35">
        <f t="shared" si="1"/>
        <v>-558</v>
      </c>
      <c r="G35">
        <f t="shared" si="2"/>
        <v>5.444296111818403E-4</v>
      </c>
      <c r="K35">
        <f>G35</f>
        <v>5.444296111818403E-4</v>
      </c>
      <c r="O35">
        <f t="shared" ca="1" si="3"/>
        <v>7.6507516572305992E-13</v>
      </c>
      <c r="Q35" s="2">
        <f t="shared" si="4"/>
        <v>41493.931199999999</v>
      </c>
    </row>
    <row r="36" spans="1:17">
      <c r="A36" s="52" t="s">
        <v>0</v>
      </c>
      <c r="B36" s="53" t="s">
        <v>37</v>
      </c>
      <c r="C36" s="54">
        <v>57577.504999999997</v>
      </c>
      <c r="D36" s="54">
        <v>5.0000000000000001E-4</v>
      </c>
      <c r="E36">
        <f t="shared" si="0"/>
        <v>-4.9563833991060472E-4</v>
      </c>
      <c r="F36">
        <f t="shared" si="1"/>
        <v>0</v>
      </c>
      <c r="G36">
        <f t="shared" si="2"/>
        <v>-9.4604327750857919E-4</v>
      </c>
      <c r="K36">
        <f>G36</f>
        <v>-9.4604327750857919E-4</v>
      </c>
      <c r="O36">
        <f t="shared" ca="1" si="3"/>
        <v>6.9677643341629691E-13</v>
      </c>
      <c r="Q36" s="2">
        <f t="shared" si="4"/>
        <v>42559.004999999997</v>
      </c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</sheetData>
  <sheetProtection sheet="1" objects="1" scenarios="1"/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87"/>
  <sheetViews>
    <sheetView workbookViewId="0">
      <selection activeCell="A18" sqref="A18:A19"/>
    </sheetView>
  </sheetViews>
  <sheetFormatPr defaultRowHeight="12.75"/>
  <cols>
    <col min="1" max="1" width="16.28515625" style="8" customWidth="1"/>
    <col min="2" max="2" width="4.42578125" style="10" customWidth="1"/>
    <col min="3" max="3" width="12.7109375" style="8" customWidth="1"/>
    <col min="4" max="4" width="3.5703125" style="10" customWidth="1"/>
    <col min="5" max="5" width="12.42578125" style="10" customWidth="1"/>
    <col min="6" max="6" width="5.42578125" style="10" customWidth="1"/>
    <col min="7" max="7" width="12" style="10" customWidth="1"/>
    <col min="8" max="8" width="7.28515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38" t="s">
        <v>45</v>
      </c>
      <c r="I1" s="39" t="s">
        <v>46</v>
      </c>
      <c r="J1" s="40" t="s">
        <v>47</v>
      </c>
    </row>
    <row r="2" spans="1:16">
      <c r="I2" s="41" t="s">
        <v>48</v>
      </c>
      <c r="J2" s="42" t="s">
        <v>49</v>
      </c>
    </row>
    <row r="3" spans="1:16">
      <c r="A3" s="43" t="s">
        <v>50</v>
      </c>
      <c r="I3" s="41" t="s">
        <v>51</v>
      </c>
      <c r="J3" s="42" t="s">
        <v>52</v>
      </c>
    </row>
    <row r="4" spans="1:16">
      <c r="I4" s="41" t="s">
        <v>53</v>
      </c>
      <c r="J4" s="42" t="s">
        <v>52</v>
      </c>
    </row>
    <row r="5" spans="1:16" ht="13.5" thickBot="1">
      <c r="I5" s="44" t="s">
        <v>54</v>
      </c>
      <c r="J5" s="45" t="s">
        <v>55</v>
      </c>
    </row>
    <row r="10" spans="1:16" ht="13.5" thickBot="1"/>
    <row r="11" spans="1:16" ht="12.75" customHeight="1" thickBot="1">
      <c r="A11" s="8" t="str">
        <f t="shared" ref="A11:A23" si="0">P11</f>
        <v> BBS 126 </v>
      </c>
      <c r="B11" s="3" t="str">
        <f t="shared" ref="B11:B23" si="1">IF(H11=INT(H11),"I","II")</f>
        <v>II</v>
      </c>
      <c r="C11" s="8">
        <f t="shared" ref="C11:C23" si="2">1*G11</f>
        <v>52205.365400000002</v>
      </c>
      <c r="D11" s="10" t="str">
        <f t="shared" ref="D11:D23" si="3">VLOOKUP(F11,I$1:J$5,2,FALSE)</f>
        <v>vis</v>
      </c>
      <c r="E11" s="46">
        <f>VLOOKUP(C11,Active!C$21:E$973,3,FALSE)</f>
        <v>365.50623195771033</v>
      </c>
      <c r="F11" s="3" t="s">
        <v>54</v>
      </c>
      <c r="G11" s="10" t="str">
        <f t="shared" ref="G11:G23" si="4">MID(I11,3,LEN(I11)-3)</f>
        <v>52205.3654</v>
      </c>
      <c r="H11" s="8">
        <f t="shared" ref="H11:H23" si="5">1*K11</f>
        <v>365.5</v>
      </c>
      <c r="I11" s="47" t="s">
        <v>66</v>
      </c>
      <c r="J11" s="48" t="s">
        <v>67</v>
      </c>
      <c r="K11" s="47">
        <v>365.5</v>
      </c>
      <c r="L11" s="47" t="s">
        <v>68</v>
      </c>
      <c r="M11" s="48" t="s">
        <v>59</v>
      </c>
      <c r="N11" s="48" t="s">
        <v>60</v>
      </c>
      <c r="O11" s="49" t="s">
        <v>69</v>
      </c>
      <c r="P11" s="49" t="s">
        <v>70</v>
      </c>
    </row>
    <row r="12" spans="1:16" ht="12.75" customHeight="1" thickBot="1">
      <c r="A12" s="8" t="str">
        <f t="shared" si="0"/>
        <v>BAVM 183 </v>
      </c>
      <c r="B12" s="3" t="str">
        <f t="shared" si="1"/>
        <v>II</v>
      </c>
      <c r="C12" s="8">
        <f t="shared" si="2"/>
        <v>54026.300999999999</v>
      </c>
      <c r="D12" s="10" t="str">
        <f t="shared" si="3"/>
        <v>vis</v>
      </c>
      <c r="E12" s="46">
        <f>VLOOKUP(C12,Active!C$21:E$973,3,FALSE)</f>
        <v>1319.5199899408492</v>
      </c>
      <c r="F12" s="3" t="s">
        <v>54</v>
      </c>
      <c r="G12" s="10" t="str">
        <f t="shared" si="4"/>
        <v>54026.3010</v>
      </c>
      <c r="H12" s="8">
        <f t="shared" si="5"/>
        <v>1319.5</v>
      </c>
      <c r="I12" s="47" t="s">
        <v>71</v>
      </c>
      <c r="J12" s="48" t="s">
        <v>72</v>
      </c>
      <c r="K12" s="47">
        <v>1319.5</v>
      </c>
      <c r="L12" s="47" t="s">
        <v>73</v>
      </c>
      <c r="M12" s="48" t="s">
        <v>74</v>
      </c>
      <c r="N12" s="48" t="s">
        <v>75</v>
      </c>
      <c r="O12" s="49" t="s">
        <v>76</v>
      </c>
      <c r="P12" s="50" t="s">
        <v>77</v>
      </c>
    </row>
    <row r="13" spans="1:16" ht="12.75" customHeight="1" thickBot="1">
      <c r="A13" s="8" t="str">
        <f t="shared" si="0"/>
        <v>BAVM 193 </v>
      </c>
      <c r="B13" s="3" t="str">
        <f t="shared" si="1"/>
        <v>II</v>
      </c>
      <c r="C13" s="8">
        <f t="shared" si="2"/>
        <v>54360.331299999998</v>
      </c>
      <c r="D13" s="10" t="str">
        <f t="shared" si="3"/>
        <v>vis</v>
      </c>
      <c r="E13" s="46">
        <f>VLOOKUP(C13,Active!C$21:E$973,3,FALSE)</f>
        <v>1494.5231596208941</v>
      </c>
      <c r="F13" s="3" t="s">
        <v>54</v>
      </c>
      <c r="G13" s="10" t="str">
        <f t="shared" si="4"/>
        <v>54360.3313</v>
      </c>
      <c r="H13" s="8">
        <f t="shared" si="5"/>
        <v>1494.5</v>
      </c>
      <c r="I13" s="47" t="s">
        <v>78</v>
      </c>
      <c r="J13" s="48" t="s">
        <v>79</v>
      </c>
      <c r="K13" s="47" t="s">
        <v>80</v>
      </c>
      <c r="L13" s="47" t="s">
        <v>81</v>
      </c>
      <c r="M13" s="48" t="s">
        <v>74</v>
      </c>
      <c r="N13" s="48" t="s">
        <v>75</v>
      </c>
      <c r="O13" s="49" t="s">
        <v>76</v>
      </c>
      <c r="P13" s="50" t="s">
        <v>82</v>
      </c>
    </row>
    <row r="14" spans="1:16" ht="12.75" customHeight="1" thickBot="1">
      <c r="A14" s="8" t="str">
        <f t="shared" si="0"/>
        <v>BAVM 193 </v>
      </c>
      <c r="B14" s="3" t="str">
        <f t="shared" si="1"/>
        <v>II</v>
      </c>
      <c r="C14" s="8">
        <f t="shared" si="2"/>
        <v>54423.319300000003</v>
      </c>
      <c r="D14" s="10" t="str">
        <f t="shared" si="3"/>
        <v>vis</v>
      </c>
      <c r="E14" s="46">
        <f>VLOOKUP(C14,Active!C$21:E$973,3,FALSE)</f>
        <v>1527.5234582519092</v>
      </c>
      <c r="F14" s="3" t="s">
        <v>54</v>
      </c>
      <c r="G14" s="10" t="str">
        <f t="shared" si="4"/>
        <v>54423.3193</v>
      </c>
      <c r="H14" s="8">
        <f t="shared" si="5"/>
        <v>1527.5</v>
      </c>
      <c r="I14" s="47" t="s">
        <v>83</v>
      </c>
      <c r="J14" s="48" t="s">
        <v>84</v>
      </c>
      <c r="K14" s="47" t="s">
        <v>85</v>
      </c>
      <c r="L14" s="47" t="s">
        <v>86</v>
      </c>
      <c r="M14" s="48" t="s">
        <v>74</v>
      </c>
      <c r="N14" s="48" t="s">
        <v>87</v>
      </c>
      <c r="O14" s="49" t="s">
        <v>88</v>
      </c>
      <c r="P14" s="50" t="s">
        <v>82</v>
      </c>
    </row>
    <row r="15" spans="1:16" ht="12.75" customHeight="1" thickBot="1">
      <c r="A15" s="8" t="str">
        <f t="shared" si="0"/>
        <v>BAVM 203 </v>
      </c>
      <c r="B15" s="3" t="str">
        <f t="shared" si="1"/>
        <v>II</v>
      </c>
      <c r="C15" s="8">
        <f t="shared" si="2"/>
        <v>54757.3436</v>
      </c>
      <c r="D15" s="10" t="str">
        <f t="shared" si="3"/>
        <v>vis</v>
      </c>
      <c r="E15" s="46">
        <f>VLOOKUP(C15,Active!C$21:E$973,3,FALSE)</f>
        <v>1702.5234844476108</v>
      </c>
      <c r="F15" s="3" t="s">
        <v>54</v>
      </c>
      <c r="G15" s="10" t="str">
        <f t="shared" si="4"/>
        <v>54757.3436</v>
      </c>
      <c r="H15" s="8">
        <f t="shared" si="5"/>
        <v>1702.5</v>
      </c>
      <c r="I15" s="47" t="s">
        <v>89</v>
      </c>
      <c r="J15" s="48" t="s">
        <v>90</v>
      </c>
      <c r="K15" s="47" t="s">
        <v>91</v>
      </c>
      <c r="L15" s="47" t="s">
        <v>86</v>
      </c>
      <c r="M15" s="48" t="s">
        <v>74</v>
      </c>
      <c r="N15" s="48" t="s">
        <v>87</v>
      </c>
      <c r="O15" s="49" t="s">
        <v>92</v>
      </c>
      <c r="P15" s="50" t="s">
        <v>93</v>
      </c>
    </row>
    <row r="16" spans="1:16" ht="12.75" customHeight="1" thickBot="1">
      <c r="A16" s="8" t="str">
        <f t="shared" si="0"/>
        <v>BAVM 215 </v>
      </c>
      <c r="B16" s="3" t="str">
        <f t="shared" si="1"/>
        <v>I</v>
      </c>
      <c r="C16" s="8">
        <f t="shared" si="2"/>
        <v>55491.256200000003</v>
      </c>
      <c r="D16" s="10" t="str">
        <f t="shared" si="3"/>
        <v>vis</v>
      </c>
      <c r="E16" s="46">
        <f>VLOOKUP(C16,Active!C$21:E$973,3,FALSE)</f>
        <v>2087.0306122983598</v>
      </c>
      <c r="F16" s="3" t="s">
        <v>54</v>
      </c>
      <c r="G16" s="10" t="str">
        <f t="shared" si="4"/>
        <v>55491.2562</v>
      </c>
      <c r="H16" s="8">
        <f t="shared" si="5"/>
        <v>2087</v>
      </c>
      <c r="I16" s="47" t="s">
        <v>99</v>
      </c>
      <c r="J16" s="48" t="s">
        <v>100</v>
      </c>
      <c r="K16" s="47" t="s">
        <v>101</v>
      </c>
      <c r="L16" s="47" t="s">
        <v>102</v>
      </c>
      <c r="M16" s="48" t="s">
        <v>74</v>
      </c>
      <c r="N16" s="48" t="s">
        <v>75</v>
      </c>
      <c r="O16" s="49" t="s">
        <v>76</v>
      </c>
      <c r="P16" s="50" t="s">
        <v>103</v>
      </c>
    </row>
    <row r="17" spans="1:16" ht="12.75" customHeight="1" thickBot="1">
      <c r="A17" s="8" t="str">
        <f t="shared" si="0"/>
        <v>BAVM 225 </v>
      </c>
      <c r="B17" s="3" t="str">
        <f t="shared" si="1"/>
        <v>II</v>
      </c>
      <c r="C17" s="8">
        <f t="shared" si="2"/>
        <v>55887.320200000002</v>
      </c>
      <c r="D17" s="10" t="str">
        <f t="shared" si="3"/>
        <v>vis</v>
      </c>
      <c r="E17" s="46">
        <f>VLOOKUP(C17,Active!C$21:E$973,3,FALSE)</f>
        <v>2294.5341094246905</v>
      </c>
      <c r="F17" s="3" t="s">
        <v>54</v>
      </c>
      <c r="G17" s="10" t="str">
        <f t="shared" si="4"/>
        <v>55887.3202</v>
      </c>
      <c r="H17" s="8">
        <f t="shared" si="5"/>
        <v>2294.5</v>
      </c>
      <c r="I17" s="47" t="s">
        <v>109</v>
      </c>
      <c r="J17" s="48" t="s">
        <v>110</v>
      </c>
      <c r="K17" s="47" t="s">
        <v>111</v>
      </c>
      <c r="L17" s="47" t="s">
        <v>112</v>
      </c>
      <c r="M17" s="48" t="s">
        <v>74</v>
      </c>
      <c r="N17" s="48" t="s">
        <v>87</v>
      </c>
      <c r="O17" s="49" t="s">
        <v>88</v>
      </c>
      <c r="P17" s="50" t="s">
        <v>113</v>
      </c>
    </row>
    <row r="18" spans="1:16" ht="12.75" customHeight="1" thickBot="1">
      <c r="A18" s="55" t="str">
        <f t="shared" si="0"/>
        <v>IBVS 4674 </v>
      </c>
      <c r="B18" s="3" t="str">
        <f t="shared" si="1"/>
        <v>I</v>
      </c>
      <c r="C18" s="8">
        <f t="shared" si="2"/>
        <v>51032.447899999999</v>
      </c>
      <c r="D18" s="10" t="str">
        <f t="shared" si="3"/>
        <v>vis</v>
      </c>
      <c r="E18" s="46">
        <f>VLOOKUP(C18,Active!C$21:E$973,3,FALSE)</f>
        <v>-249.00173415553016</v>
      </c>
      <c r="F18" s="3" t="s">
        <v>54</v>
      </c>
      <c r="G18" s="10" t="str">
        <f t="shared" si="4"/>
        <v>51032.4479</v>
      </c>
      <c r="H18" s="8">
        <f t="shared" si="5"/>
        <v>-249</v>
      </c>
      <c r="I18" s="47" t="s">
        <v>56</v>
      </c>
      <c r="J18" s="48" t="s">
        <v>57</v>
      </c>
      <c r="K18" s="47">
        <v>-249</v>
      </c>
      <c r="L18" s="47" t="s">
        <v>58</v>
      </c>
      <c r="M18" s="48" t="s">
        <v>59</v>
      </c>
      <c r="N18" s="48" t="s">
        <v>60</v>
      </c>
      <c r="O18" s="49" t="s">
        <v>61</v>
      </c>
      <c r="P18" s="50" t="s">
        <v>62</v>
      </c>
    </row>
    <row r="19" spans="1:16" ht="12.75" customHeight="1" thickBot="1">
      <c r="A19" s="55" t="str">
        <f t="shared" si="0"/>
        <v>IBVS 4674 </v>
      </c>
      <c r="B19" s="3" t="str">
        <f t="shared" si="1"/>
        <v>I</v>
      </c>
      <c r="C19" s="8">
        <f t="shared" si="2"/>
        <v>51076.346899999997</v>
      </c>
      <c r="D19" s="10" t="str">
        <f t="shared" si="3"/>
        <v>vis</v>
      </c>
      <c r="E19" s="46">
        <f>VLOOKUP(C19,Active!C$21:E$973,3,FALSE)</f>
        <v>-226.00243096122742</v>
      </c>
      <c r="F19" s="3" t="s">
        <v>54</v>
      </c>
      <c r="G19" s="10" t="str">
        <f t="shared" si="4"/>
        <v>51076.3469</v>
      </c>
      <c r="H19" s="8">
        <f t="shared" si="5"/>
        <v>-226</v>
      </c>
      <c r="I19" s="47" t="s">
        <v>63</v>
      </c>
      <c r="J19" s="48" t="s">
        <v>64</v>
      </c>
      <c r="K19" s="47">
        <v>-226</v>
      </c>
      <c r="L19" s="47" t="s">
        <v>65</v>
      </c>
      <c r="M19" s="48" t="s">
        <v>59</v>
      </c>
      <c r="N19" s="48" t="s">
        <v>60</v>
      </c>
      <c r="O19" s="49" t="s">
        <v>61</v>
      </c>
      <c r="P19" s="50" t="s">
        <v>62</v>
      </c>
    </row>
    <row r="20" spans="1:16" ht="12.75" customHeight="1" thickBot="1">
      <c r="A20" s="8" t="str">
        <f t="shared" si="0"/>
        <v>IBVS 5871 </v>
      </c>
      <c r="B20" s="3" t="str">
        <f t="shared" si="1"/>
        <v>I</v>
      </c>
      <c r="C20" s="8">
        <f t="shared" si="2"/>
        <v>54769.753100000002</v>
      </c>
      <c r="D20" s="10" t="str">
        <f t="shared" si="3"/>
        <v>vis</v>
      </c>
      <c r="E20" s="46">
        <f>VLOOKUP(C20,Active!C$21:E$973,3,FALSE)</f>
        <v>1709.0249959396665</v>
      </c>
      <c r="F20" s="3" t="s">
        <v>54</v>
      </c>
      <c r="G20" s="10" t="str">
        <f t="shared" si="4"/>
        <v>54769.7531</v>
      </c>
      <c r="H20" s="8">
        <f t="shared" si="5"/>
        <v>1709</v>
      </c>
      <c r="I20" s="47" t="s">
        <v>94</v>
      </c>
      <c r="J20" s="48" t="s">
        <v>95</v>
      </c>
      <c r="K20" s="47" t="s">
        <v>96</v>
      </c>
      <c r="L20" s="47" t="s">
        <v>97</v>
      </c>
      <c r="M20" s="48" t="s">
        <v>74</v>
      </c>
      <c r="N20" s="48" t="s">
        <v>54</v>
      </c>
      <c r="O20" s="49" t="s">
        <v>69</v>
      </c>
      <c r="P20" s="50" t="s">
        <v>98</v>
      </c>
    </row>
    <row r="21" spans="1:16" ht="12.75" customHeight="1" thickBot="1">
      <c r="A21" s="8" t="str">
        <f t="shared" si="0"/>
        <v>IBVS 5960 </v>
      </c>
      <c r="B21" s="3" t="str">
        <f t="shared" si="1"/>
        <v>I</v>
      </c>
      <c r="C21" s="8">
        <f t="shared" si="2"/>
        <v>55523.705099999999</v>
      </c>
      <c r="D21" s="10" t="str">
        <f t="shared" si="3"/>
        <v>vis</v>
      </c>
      <c r="E21" s="46">
        <f>VLOOKUP(C21,Active!C$21:E$973,3,FALSE)</f>
        <v>2104.0310471470252</v>
      </c>
      <c r="F21" s="3" t="s">
        <v>54</v>
      </c>
      <c r="G21" s="10" t="str">
        <f t="shared" si="4"/>
        <v>55523.7051</v>
      </c>
      <c r="H21" s="8">
        <f t="shared" si="5"/>
        <v>2104</v>
      </c>
      <c r="I21" s="47" t="s">
        <v>104</v>
      </c>
      <c r="J21" s="48" t="s">
        <v>105</v>
      </c>
      <c r="K21" s="47" t="s">
        <v>106</v>
      </c>
      <c r="L21" s="47" t="s">
        <v>107</v>
      </c>
      <c r="M21" s="48" t="s">
        <v>74</v>
      </c>
      <c r="N21" s="48" t="s">
        <v>54</v>
      </c>
      <c r="O21" s="49" t="s">
        <v>69</v>
      </c>
      <c r="P21" s="50" t="s">
        <v>108</v>
      </c>
    </row>
    <row r="22" spans="1:16" ht="12.75" customHeight="1" thickBot="1">
      <c r="A22" s="8" t="str">
        <f t="shared" si="0"/>
        <v>OEJV 0160 </v>
      </c>
      <c r="B22" s="3" t="str">
        <f t="shared" si="1"/>
        <v>I</v>
      </c>
      <c r="C22" s="8">
        <f t="shared" si="2"/>
        <v>56512.430829999998</v>
      </c>
      <c r="D22" s="10" t="str">
        <f t="shared" si="3"/>
        <v>vis</v>
      </c>
      <c r="E22" s="46">
        <f>VLOOKUP(C22,Active!C$21:E$973,3,FALSE)</f>
        <v>2622.0383557481214</v>
      </c>
      <c r="F22" s="3" t="s">
        <v>54</v>
      </c>
      <c r="G22" s="10" t="str">
        <f t="shared" si="4"/>
        <v>56512.43083</v>
      </c>
      <c r="H22" s="8">
        <f t="shared" si="5"/>
        <v>2622</v>
      </c>
      <c r="I22" s="47" t="s">
        <v>114</v>
      </c>
      <c r="J22" s="48" t="s">
        <v>115</v>
      </c>
      <c r="K22" s="47" t="s">
        <v>116</v>
      </c>
      <c r="L22" s="47" t="s">
        <v>117</v>
      </c>
      <c r="M22" s="48" t="s">
        <v>74</v>
      </c>
      <c r="N22" s="48" t="s">
        <v>54</v>
      </c>
      <c r="O22" s="49" t="s">
        <v>118</v>
      </c>
      <c r="P22" s="50" t="s">
        <v>119</v>
      </c>
    </row>
    <row r="23" spans="1:16" ht="12.75" customHeight="1" thickBot="1">
      <c r="A23" s="8" t="str">
        <f t="shared" si="0"/>
        <v>OEJV 0160 </v>
      </c>
      <c r="B23" s="3" t="str">
        <f t="shared" si="1"/>
        <v>I</v>
      </c>
      <c r="C23" s="8">
        <f t="shared" si="2"/>
        <v>56512.431199999999</v>
      </c>
      <c r="D23" s="10" t="str">
        <f t="shared" si="3"/>
        <v>vis</v>
      </c>
      <c r="E23" s="46">
        <f>VLOOKUP(C23,Active!C$21:E$973,3,FALSE)</f>
        <v>2622.0385495963233</v>
      </c>
      <c r="F23" s="3" t="s">
        <v>54</v>
      </c>
      <c r="G23" s="10" t="str">
        <f t="shared" si="4"/>
        <v>56512.4312</v>
      </c>
      <c r="H23" s="8">
        <f t="shared" si="5"/>
        <v>2622</v>
      </c>
      <c r="I23" s="47" t="s">
        <v>120</v>
      </c>
      <c r="J23" s="48" t="s">
        <v>115</v>
      </c>
      <c r="K23" s="47" t="s">
        <v>116</v>
      </c>
      <c r="L23" s="47" t="s">
        <v>121</v>
      </c>
      <c r="M23" s="48" t="s">
        <v>74</v>
      </c>
      <c r="N23" s="48" t="s">
        <v>122</v>
      </c>
      <c r="O23" s="49" t="s">
        <v>118</v>
      </c>
      <c r="P23" s="50" t="s">
        <v>119</v>
      </c>
    </row>
    <row r="24" spans="1:16">
      <c r="B24" s="3"/>
      <c r="E24" s="46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</sheetData>
  <phoneticPr fontId="8" type="noConversion"/>
  <hyperlinks>
    <hyperlink ref="A3" r:id="rId1" xr:uid="{00000000-0004-0000-0300-000000000000}"/>
    <hyperlink ref="P18" r:id="rId2" display="http://www.konkoly.hu/cgi-bin/IBVS?4674" xr:uid="{00000000-0004-0000-0300-000001000000}"/>
    <hyperlink ref="P19" r:id="rId3" display="http://www.konkoly.hu/cgi-bin/IBVS?4674" xr:uid="{00000000-0004-0000-0300-000002000000}"/>
    <hyperlink ref="P12" r:id="rId4" display="http://www.bav-astro.de/sfs/BAVM_link.php?BAVMnr=183" xr:uid="{00000000-0004-0000-0300-000003000000}"/>
    <hyperlink ref="P13" r:id="rId5" display="http://www.bav-astro.de/sfs/BAVM_link.php?BAVMnr=193" xr:uid="{00000000-0004-0000-0300-000004000000}"/>
    <hyperlink ref="P14" r:id="rId6" display="http://www.bav-astro.de/sfs/BAVM_link.php?BAVMnr=193" xr:uid="{00000000-0004-0000-0300-000005000000}"/>
    <hyperlink ref="P15" r:id="rId7" display="http://www.bav-astro.de/sfs/BAVM_link.php?BAVMnr=203" xr:uid="{00000000-0004-0000-0300-000006000000}"/>
    <hyperlink ref="P20" r:id="rId8" display="http://www.konkoly.hu/cgi-bin/IBVS?5871" xr:uid="{00000000-0004-0000-0300-000007000000}"/>
    <hyperlink ref="P16" r:id="rId9" display="http://www.bav-astro.de/sfs/BAVM_link.php?BAVMnr=215" xr:uid="{00000000-0004-0000-0300-000008000000}"/>
    <hyperlink ref="P21" r:id="rId10" display="http://www.konkoly.hu/cgi-bin/IBVS?5960" xr:uid="{00000000-0004-0000-0300-000009000000}"/>
    <hyperlink ref="P17" r:id="rId11" display="http://www.bav-astro.de/sfs/BAVM_link.php?BAVMnr=225" xr:uid="{00000000-0004-0000-0300-00000A000000}"/>
    <hyperlink ref="P22" r:id="rId12" display="http://var.astro.cz/oejv/issues/oejv0160.pdf" xr:uid="{00000000-0004-0000-0300-00000B000000}"/>
    <hyperlink ref="P23" r:id="rId13" display="http://var.astro.cz/oejv/issues/oejv0160.pdf" xr:uid="{00000000-0004-0000-0300-00000C000000}"/>
  </hyperlinks>
  <pageMargins left="0.75" right="0.75" top="1" bottom="1" header="0.5" footer="0.5"/>
  <pageSetup orientation="portrait" horizontalDpi="300" verticalDpi="300" r:id="rId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(2)</vt:lpstr>
      <vt:lpstr>A (3)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2024-01-09T23:42:13Z</dcterms:modified>
</cp:coreProperties>
</file>