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9AA8F13-C09F-4226-B3A6-191AAD9077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A (2)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C7" i="3" l="1"/>
  <c r="E23" i="3"/>
  <c r="F23" i="3"/>
  <c r="G23" i="3"/>
  <c r="I23" i="3"/>
  <c r="C8" i="3"/>
  <c r="C9" i="3"/>
  <c r="D9" i="3"/>
  <c r="F16" i="3"/>
  <c r="F17" i="3" s="1"/>
  <c r="C17" i="3"/>
  <c r="E21" i="3"/>
  <c r="F21" i="3"/>
  <c r="G21" i="3"/>
  <c r="H21" i="3"/>
  <c r="Q21" i="3"/>
  <c r="E22" i="3"/>
  <c r="F22" i="3"/>
  <c r="G22" i="3"/>
  <c r="H22" i="3"/>
  <c r="Q22" i="3"/>
  <c r="Q23" i="3"/>
  <c r="E24" i="3"/>
  <c r="F24" i="3"/>
  <c r="Q24" i="3"/>
  <c r="E25" i="3"/>
  <c r="F25" i="3"/>
  <c r="G25" i="3"/>
  <c r="H25" i="3"/>
  <c r="Q25" i="3"/>
  <c r="E26" i="3"/>
  <c r="F26" i="3"/>
  <c r="U26" i="3"/>
  <c r="Q26" i="3"/>
  <c r="Q26" i="1"/>
  <c r="E23" i="1"/>
  <c r="F23" i="1" s="1"/>
  <c r="G23" i="1" s="1"/>
  <c r="I23" i="1" s="1"/>
  <c r="D9" i="1"/>
  <c r="C9" i="1"/>
  <c r="Q23" i="1"/>
  <c r="Q24" i="1"/>
  <c r="H14" i="2"/>
  <c r="G14" i="2"/>
  <c r="D14" i="2"/>
  <c r="C14" i="2"/>
  <c r="B14" i="2"/>
  <c r="A14" i="2"/>
  <c r="H13" i="2"/>
  <c r="G13" i="2"/>
  <c r="D13" i="2"/>
  <c r="C13" i="2"/>
  <c r="B13" i="2"/>
  <c r="A13" i="2"/>
  <c r="H12" i="2"/>
  <c r="B12" i="2"/>
  <c r="G12" i="2"/>
  <c r="C12" i="2"/>
  <c r="E12" i="2"/>
  <c r="D12" i="2"/>
  <c r="A12" i="2"/>
  <c r="H11" i="2"/>
  <c r="B11" i="2"/>
  <c r="G11" i="2"/>
  <c r="D11" i="2"/>
  <c r="C11" i="2"/>
  <c r="A11" i="2"/>
  <c r="Q25" i="1"/>
  <c r="E21" i="1"/>
  <c r="F21" i="1" s="1"/>
  <c r="G21" i="1" s="1"/>
  <c r="H21" i="1" s="1"/>
  <c r="F16" i="1"/>
  <c r="F17" i="1" s="1"/>
  <c r="C17" i="1"/>
  <c r="Q21" i="1"/>
  <c r="Q22" i="1"/>
  <c r="E14" i="2"/>
  <c r="E25" i="1"/>
  <c r="F25" i="1"/>
  <c r="E24" i="1"/>
  <c r="E22" i="1"/>
  <c r="F22" i="1"/>
  <c r="G22" i="1"/>
  <c r="H22" i="1"/>
  <c r="E26" i="1"/>
  <c r="F26" i="1" s="1"/>
  <c r="U26" i="1" s="1"/>
  <c r="G24" i="3"/>
  <c r="G25" i="1"/>
  <c r="H25" i="1"/>
  <c r="I24" i="3"/>
  <c r="E11" i="2"/>
  <c r="F24" i="1"/>
  <c r="G24" i="1"/>
  <c r="E13" i="2"/>
  <c r="I24" i="1"/>
  <c r="C11" i="1"/>
  <c r="C11" i="3"/>
  <c r="C12" i="3"/>
  <c r="C12" i="1"/>
  <c r="O23" i="1" l="1"/>
  <c r="O25" i="1"/>
  <c r="O22" i="1"/>
  <c r="O26" i="1"/>
  <c r="O24" i="1"/>
  <c r="C15" i="1"/>
  <c r="O21" i="1"/>
  <c r="O23" i="3"/>
  <c r="O24" i="3"/>
  <c r="O26" i="3"/>
  <c r="O22" i="3"/>
  <c r="C15" i="3"/>
  <c r="O21" i="3"/>
  <c r="O25" i="3"/>
  <c r="C16" i="1"/>
  <c r="D18" i="1" s="1"/>
  <c r="C16" i="3"/>
  <c r="D18" i="3" s="1"/>
  <c r="C18" i="1" l="1"/>
  <c r="C18" i="3"/>
  <c r="F18" i="3"/>
  <c r="F19" i="3" s="1"/>
  <c r="F18" i="1"/>
  <c r="F19" i="1" s="1"/>
</calcChain>
</file>

<file path=xl/sharedStrings.xml><?xml version="1.0" encoding="utf-8"?>
<sst xmlns="http://schemas.openxmlformats.org/spreadsheetml/2006/main" count="161" uniqueCount="85">
  <si>
    <t>Bad?</t>
  </si>
  <si>
    <t>IBVS 6196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</si>
  <si>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</si>
  <si>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</si>
  <si>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</si>
  <si>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</si>
  <si>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</si>
  <si>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</si>
  <si>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</si>
  <si>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</si>
  <si>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</si>
  <si>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</si>
  <si>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</si>
  <si>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</si>
  <si>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</si>
  <si>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</si>
  <si>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</si>
  <si>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</si>
  <si>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</si>
  <si>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</si>
  <si>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</si>
  <si>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</si>
  <si>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</si>
  <si>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</si>
  <si>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</si>
  <si>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</si>
  <si>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</si>
  <si>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</si>
  <si>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</si>
  <si>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</si>
  <si>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</si>
  <si>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</si>
  <si>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</si>
  <si>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</si>
  <si>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</si>
  <si>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</si>
  <si>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</si>
  <si>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</si>
  <si>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EB</t>
  </si>
  <si>
    <t>IBVS 5600 Eph.</t>
  </si>
  <si>
    <t>IBVS 5600</t>
  </si>
  <si>
    <t>V452 And / GSC 3640-0577</t>
  </si>
  <si>
    <t>IBVS 5959</t>
  </si>
  <si>
    <t>I</t>
  </si>
  <si>
    <t>Add cycle</t>
  </si>
  <si>
    <t>Old Cycle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</si>
  <si>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</si>
  <si>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</si>
  <si>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</si>
  <si>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</si>
  <si>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</si>
  <si>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</si>
  <si>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</si>
  <si>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</si>
  <si>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</si>
  <si>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</si>
  <si>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</si>
  <si>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</si>
  <si>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2455071.5098 </t>
  </si>
  <si>
    <t> 28.08.2009 00:14 </t>
  </si>
  <si>
    <t> 0.0832 </t>
  </si>
  <si>
    <t>C </t>
  </si>
  <si>
    <t>-I</t>
  </si>
  <si>
    <t> P.Frank </t>
  </si>
  <si>
    <t>BAVM 214 </t>
  </si>
  <si>
    <t>2455849.3681 </t>
  </si>
  <si>
    <t> 14.10.2011 20:50 </t>
  </si>
  <si>
    <t>2955</t>
  </si>
  <si>
    <t> 0.1135 </t>
  </si>
  <si>
    <t> F.Agerer </t>
  </si>
  <si>
    <t>BAVM 225 </t>
  </si>
  <si>
    <t>2455873.3397 </t>
  </si>
  <si>
    <t> 07.11.2011 20:09 </t>
  </si>
  <si>
    <t>2979.5</t>
  </si>
  <si>
    <t> 0.1143 </t>
  </si>
  <si>
    <t>2455875.7839 </t>
  </si>
  <si>
    <t> 10.11.2011 06:48 </t>
  </si>
  <si>
    <t>2982</t>
  </si>
  <si>
    <t> 0.1125 </t>
  </si>
  <si>
    <t>ns</t>
  </si>
  <si>
    <t> R.Diethelm </t>
  </si>
  <si>
    <t>IBVS 6011 </t>
  </si>
  <si>
    <t>II</t>
  </si>
  <si>
    <t>BAVM</t>
  </si>
  <si>
    <t>V0452 And / GSC 3640-0577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</si>
</sst>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6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15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35" fillId="0" borderId="8" xfId="0" applyFont="1" applyBorder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8.3200000153738074E-2</c:v>
                </c:pt>
                <c:pt idx="4">
                  <c:v>0.11250000015570549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2C-432C-A095-7052375445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BAVM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0.11350000015227124</c:v>
                </c:pt>
                <c:pt idx="3">
                  <c:v>0.11430000014661346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2C-432C-A095-7052375445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2C-432C-A095-7052375445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2C-432C-A095-7052375445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2C-432C-A095-7052375445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2C-432C-A095-7052375445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2C-432C-A095-7052375445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1.7373892719421691E-4</c:v>
                </c:pt>
                <c:pt idx="1">
                  <c:v>8.2589991434781587E-2</c:v>
                </c:pt>
                <c:pt idx="2">
                  <c:v>0.1129237510382686</c:v>
                </c:pt>
                <c:pt idx="3">
                  <c:v>0.1138585650134704</c:v>
                </c:pt>
                <c:pt idx="4">
                  <c:v>0.11395395419461343</c:v>
                </c:pt>
                <c:pt idx="5">
                  <c:v>0.17166440878615319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2C-432C-A095-705237544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576336"/>
        <c:axId val="1"/>
      </c:scatterChart>
      <c:valAx>
        <c:axId val="689576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576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V452 And - O-C Diagr.</a:t>
            </a:r>
          </a:p>
        </c:rich>
      </c:tx>
      <c:layout>
        <c:manualLayout>
          <c:xMode val="edge"/>
          <c:yMode val="edge"/>
          <c:x val="0.3729323308270676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(2)'!$H$21:$H$999</c:f>
              <c:numCache>
                <c:formatCode>General</c:formatCode>
                <c:ptCount val="979"/>
                <c:pt idx="0">
                  <c:v>0</c:v>
                </c:pt>
                <c:pt idx="1">
                  <c:v>8.3200000153738074E-2</c:v>
                </c:pt>
                <c:pt idx="4">
                  <c:v>0.11250000015570549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6-48A3-A3E3-D68C20F371A5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BAVM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(2)'!$I$21:$I$999</c:f>
              <c:numCache>
                <c:formatCode>General</c:formatCode>
                <c:ptCount val="979"/>
                <c:pt idx="2">
                  <c:v>0.11350000015227124</c:v>
                </c:pt>
                <c:pt idx="3">
                  <c:v>0.11430000014661346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6-48A3-A3E3-D68C20F371A5}"/>
            </c:ext>
          </c:extLst>
        </c:ser>
        <c:ser>
          <c:idx val="3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6-48A3-A3E3-D68C20F371A5}"/>
            </c:ext>
          </c:extLst>
        </c:ser>
        <c:ser>
          <c:idx val="4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6-48A3-A3E3-D68C20F371A5}"/>
            </c:ext>
          </c:extLst>
        </c:ser>
        <c:ser>
          <c:idx val="2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6-48A3-A3E3-D68C20F371A5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6-48A3-A3E3-D68C20F371A5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plus>
            <c:minus>
              <c:numRef>
                <c:f>'A (2)'!$D$21:$D$999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0</c:v>
                  </c:pt>
                  <c:pt idx="3">
                    <c:v>0</c:v>
                  </c:pt>
                  <c:pt idx="4">
                    <c:v>1.8E-3</c:v>
                  </c:pt>
                  <c:pt idx="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6-48A3-A3E3-D68C20F371A5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2160</c:v>
                </c:pt>
                <c:pt idx="2">
                  <c:v>2955</c:v>
                </c:pt>
                <c:pt idx="3">
                  <c:v>2979.5</c:v>
                </c:pt>
                <c:pt idx="4">
                  <c:v>2982</c:v>
                </c:pt>
                <c:pt idx="5">
                  <c:v>4494.5</c:v>
                </c:pt>
              </c:numCache>
            </c:numRef>
          </c:xVal>
          <c:yVal>
            <c:numRef>
              <c:f>'A (2)'!$O$21:$O$999</c:f>
              <c:numCache>
                <c:formatCode>General</c:formatCode>
                <c:ptCount val="979"/>
                <c:pt idx="0">
                  <c:v>1.7373892719421691E-4</c:v>
                </c:pt>
                <c:pt idx="1">
                  <c:v>8.2589991434781587E-2</c:v>
                </c:pt>
                <c:pt idx="2">
                  <c:v>0.1129237510382686</c:v>
                </c:pt>
                <c:pt idx="3">
                  <c:v>0.1138585650134704</c:v>
                </c:pt>
                <c:pt idx="4">
                  <c:v>0.11395395419461343</c:v>
                </c:pt>
                <c:pt idx="5">
                  <c:v>0.17166440878615319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6-48A3-A3E3-D68C20F3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570216"/>
        <c:axId val="1"/>
      </c:scatterChart>
      <c:valAx>
        <c:axId val="689570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570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616541353383458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18</xdr:col>
      <xdr:colOff>466725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36F2C22-ABB2-CBBA-19BC-919B76B17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6DE7837B-EF3D-D0CD-A768-E78B8B03A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konkoly.hu/cgi-bin/IBVS?6011" TargetMode="External"/><Relationship Id="rId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K20" sqref="K2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84</v>
      </c>
    </row>
    <row r="2" spans="1:6" x14ac:dyDescent="0.2">
      <c r="A2" t="s">
        <v>25</v>
      </c>
      <c r="B2" s="28" t="s">
        <v>38</v>
      </c>
      <c r="C2" s="2"/>
      <c r="D2" s="2"/>
    </row>
    <row r="3" spans="1:6" ht="13.5" thickBot="1" x14ac:dyDescent="0.25"/>
    <row r="4" spans="1:6" ht="14.25" thickTop="1" thickBot="1" x14ac:dyDescent="0.25">
      <c r="A4" s="29" t="s">
        <v>39</v>
      </c>
      <c r="C4" s="7">
        <v>52958.082599999849</v>
      </c>
      <c r="D4" s="8">
        <v>0.97840000000000005</v>
      </c>
    </row>
    <row r="5" spans="1:6" ht="13.5" thickTop="1" x14ac:dyDescent="0.2">
      <c r="A5" s="10" t="s">
        <v>32</v>
      </c>
      <c r="B5" s="11"/>
      <c r="C5" s="12">
        <v>-9.5</v>
      </c>
      <c r="D5" s="11" t="s">
        <v>33</v>
      </c>
    </row>
    <row r="6" spans="1:6" x14ac:dyDescent="0.2">
      <c r="A6" s="4" t="s">
        <v>2</v>
      </c>
    </row>
    <row r="7" spans="1:6" x14ac:dyDescent="0.2">
      <c r="A7" t="s">
        <v>3</v>
      </c>
      <c r="C7">
        <v>52958.082599999849</v>
      </c>
    </row>
    <row r="8" spans="1:6" x14ac:dyDescent="0.2">
      <c r="A8" t="s">
        <v>4</v>
      </c>
      <c r="C8">
        <v>0.97840000000000005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6" x14ac:dyDescent="0.2">
      <c r="A11" s="11" t="s">
        <v>16</v>
      </c>
      <c r="B11" s="11"/>
      <c r="C11" s="22">
        <f ca="1">INTERCEPT(INDIRECT($D$9):G992,INDIRECT($C$9):F992)</f>
        <v>1.7373892719421691E-4</v>
      </c>
      <c r="D11" s="2"/>
      <c r="E11" s="11"/>
    </row>
    <row r="12" spans="1:6" x14ac:dyDescent="0.2">
      <c r="A12" s="11" t="s">
        <v>17</v>
      </c>
      <c r="B12" s="11"/>
      <c r="C12" s="22">
        <f ca="1">SLOPE(INDIRECT($D$9):G992,INDIRECT($C$9):F992)</f>
        <v>3.8155672457216372E-5</v>
      </c>
      <c r="D12" s="2"/>
      <c r="E12" s="11"/>
    </row>
    <row r="13" spans="1:6" x14ac:dyDescent="0.2">
      <c r="A13" s="11" t="s">
        <v>20</v>
      </c>
      <c r="B13" s="11"/>
      <c r="C13" s="2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(C7+C11)+(C8+C12)*INT(MAX(F21:F3533))</f>
        <v>57355.183845330794</v>
      </c>
      <c r="E15" s="15" t="s">
        <v>44</v>
      </c>
      <c r="F15" s="12">
        <v>1</v>
      </c>
    </row>
    <row r="16" spans="1:6" x14ac:dyDescent="0.2">
      <c r="A16" s="17" t="s">
        <v>5</v>
      </c>
      <c r="B16" s="11"/>
      <c r="C16" s="18">
        <f ca="1">+C8+C12</f>
        <v>0.97843815567245729</v>
      </c>
      <c r="E16" s="15" t="s">
        <v>34</v>
      </c>
      <c r="F16" s="16">
        <f ca="1">NOW()+15018.5+$C$5/24</f>
        <v>60319.53257106481</v>
      </c>
    </row>
    <row r="17" spans="1:21" ht="13.5" thickBot="1" x14ac:dyDescent="0.25">
      <c r="A17" s="15" t="s">
        <v>31</v>
      </c>
      <c r="B17" s="11"/>
      <c r="C17" s="11">
        <f>COUNT(C21:C2191)</f>
        <v>6</v>
      </c>
      <c r="E17" s="15" t="s">
        <v>45</v>
      </c>
      <c r="F17" s="16">
        <f ca="1">ROUND(2*(F16-$C$7)/$C$8,0)/2+F15</f>
        <v>7525</v>
      </c>
    </row>
    <row r="18" spans="1:21" ht="14.25" thickTop="1" thickBot="1" x14ac:dyDescent="0.25">
      <c r="A18" s="17" t="s">
        <v>6</v>
      </c>
      <c r="B18" s="11"/>
      <c r="C18" s="20">
        <f ca="1">+C15</f>
        <v>57355.183845330794</v>
      </c>
      <c r="D18" s="21">
        <f ca="1">+C16</f>
        <v>0.97843815567245729</v>
      </c>
      <c r="E18" s="15" t="s">
        <v>35</v>
      </c>
      <c r="F18" s="24">
        <f ca="1">ROUND(2*(F16-$C$15)/$C$16,0)/2+F15</f>
        <v>3030.5</v>
      </c>
    </row>
    <row r="19" spans="1:21" ht="13.5" thickTop="1" x14ac:dyDescent="0.2">
      <c r="E19" s="15" t="s">
        <v>36</v>
      </c>
      <c r="F19" s="19">
        <f ca="1">+$C$15+$C$16*F18-15018.5-$C$5/24</f>
        <v>45302.236509429509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30</v>
      </c>
      <c r="I20" s="6" t="s">
        <v>83</v>
      </c>
      <c r="J20" s="6" t="s">
        <v>49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  <c r="U20" s="49" t="s">
        <v>0</v>
      </c>
    </row>
    <row r="21" spans="1:21" x14ac:dyDescent="0.2">
      <c r="A21" s="30" t="s">
        <v>40</v>
      </c>
      <c r="C21" s="9">
        <v>52958.082599999849</v>
      </c>
      <c r="D21" s="9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1.7373892719421691E-4</v>
      </c>
      <c r="Q21" s="1">
        <f t="shared" ref="Q21:Q26" si="3">+C21-15018.5</f>
        <v>37939.582599999849</v>
      </c>
    </row>
    <row r="22" spans="1:21" x14ac:dyDescent="0.2">
      <c r="A22" s="31" t="s">
        <v>42</v>
      </c>
      <c r="B22" s="32" t="s">
        <v>43</v>
      </c>
      <c r="C22" s="31">
        <v>55071.5098</v>
      </c>
      <c r="D22" s="31">
        <v>4.0000000000000002E-4</v>
      </c>
      <c r="E22">
        <f t="shared" si="0"/>
        <v>2160.0850367949211</v>
      </c>
      <c r="F22">
        <f t="shared" si="1"/>
        <v>2160</v>
      </c>
      <c r="G22">
        <f>+C22-(C$7+F22*C$8)</f>
        <v>8.3200000153738074E-2</v>
      </c>
      <c r="H22">
        <f>+G22</f>
        <v>8.3200000153738074E-2</v>
      </c>
      <c r="O22">
        <f t="shared" ca="1" si="2"/>
        <v>8.2589991434781587E-2</v>
      </c>
      <c r="Q22" s="1">
        <f t="shared" si="3"/>
        <v>40053.0098</v>
      </c>
    </row>
    <row r="23" spans="1:21" x14ac:dyDescent="0.2">
      <c r="A23" s="24" t="s">
        <v>70</v>
      </c>
      <c r="B23" s="2" t="s">
        <v>43</v>
      </c>
      <c r="C23" s="9">
        <v>55849.3681</v>
      </c>
      <c r="D23" s="9" t="s">
        <v>57</v>
      </c>
      <c r="E23">
        <f t="shared" si="0"/>
        <v>2955.1160057237844</v>
      </c>
      <c r="F23">
        <f t="shared" si="1"/>
        <v>2955</v>
      </c>
      <c r="G23">
        <f>+C23-(C$7+F23*C$8)</f>
        <v>0.11350000015227124</v>
      </c>
      <c r="I23">
        <f>+G23</f>
        <v>0.11350000015227124</v>
      </c>
      <c r="O23">
        <f t="shared" ca="1" si="2"/>
        <v>0.1129237510382686</v>
      </c>
      <c r="Q23" s="1">
        <f t="shared" si="3"/>
        <v>40830.8681</v>
      </c>
    </row>
    <row r="24" spans="1:21" x14ac:dyDescent="0.2">
      <c r="A24" s="24" t="s">
        <v>70</v>
      </c>
      <c r="B24" s="2" t="s">
        <v>82</v>
      </c>
      <c r="C24" s="9">
        <v>55873.339699999997</v>
      </c>
      <c r="D24" s="9" t="s">
        <v>57</v>
      </c>
      <c r="E24">
        <f t="shared" si="0"/>
        <v>2979.6168233852695</v>
      </c>
      <c r="F24">
        <f t="shared" si="1"/>
        <v>2979.5</v>
      </c>
      <c r="G24">
        <f>+C24-(C$7+F24*C$8)</f>
        <v>0.11430000014661346</v>
      </c>
      <c r="I24">
        <f>+G24</f>
        <v>0.11430000014661346</v>
      </c>
      <c r="O24">
        <f t="shared" ca="1" si="2"/>
        <v>0.1138585650134704</v>
      </c>
      <c r="Q24" s="1">
        <f t="shared" si="3"/>
        <v>40854.839699999997</v>
      </c>
    </row>
    <row r="25" spans="1:21" x14ac:dyDescent="0.2">
      <c r="A25" s="31" t="s">
        <v>46</v>
      </c>
      <c r="B25" s="32" t="s">
        <v>43</v>
      </c>
      <c r="C25" s="31">
        <v>55875.783900000002</v>
      </c>
      <c r="D25" s="31">
        <v>1.8E-3</v>
      </c>
      <c r="E25">
        <f t="shared" si="0"/>
        <v>2982.1149836469267</v>
      </c>
      <c r="F25">
        <f t="shared" si="1"/>
        <v>2982</v>
      </c>
      <c r="G25">
        <f>+C25-(C$7+F25*C$8)</f>
        <v>0.11250000015570549</v>
      </c>
      <c r="H25">
        <f>+G25</f>
        <v>0.11250000015570549</v>
      </c>
      <c r="O25">
        <f t="shared" ca="1" si="2"/>
        <v>0.11395395419461343</v>
      </c>
      <c r="Q25" s="1">
        <f t="shared" si="3"/>
        <v>40857.283900000002</v>
      </c>
    </row>
    <row r="26" spans="1:21" x14ac:dyDescent="0.2">
      <c r="A26" s="46" t="s">
        <v>1</v>
      </c>
      <c r="B26" s="47" t="s">
        <v>43</v>
      </c>
      <c r="C26" s="48">
        <v>57355.434200000003</v>
      </c>
      <c r="D26" s="48">
        <v>1E-4</v>
      </c>
      <c r="E26">
        <f t="shared" si="0"/>
        <v>4494.4313164351533</v>
      </c>
      <c r="F26">
        <f t="shared" si="1"/>
        <v>4494.5</v>
      </c>
      <c r="O26">
        <f t="shared" ca="1" si="2"/>
        <v>0.17166440878615319</v>
      </c>
      <c r="Q26" s="1">
        <f t="shared" si="3"/>
        <v>42336.934200000003</v>
      </c>
      <c r="U26">
        <f>+C26-(C$7+F26*C$8)</f>
        <v>-6.7199999844888225E-2</v>
      </c>
    </row>
    <row r="27" spans="1:21" x14ac:dyDescent="0.2">
      <c r="C27" s="9"/>
      <c r="D27" s="9"/>
      <c r="Q27" s="1"/>
    </row>
    <row r="28" spans="1:21" x14ac:dyDescent="0.2">
      <c r="C28" s="9"/>
      <c r="D28" s="9"/>
      <c r="Q28" s="1"/>
    </row>
    <row r="29" spans="1:21" x14ac:dyDescent="0.2">
      <c r="C29" s="9"/>
      <c r="D29" s="9"/>
      <c r="Q29" s="1"/>
    </row>
    <row r="30" spans="1:21" x14ac:dyDescent="0.2">
      <c r="C30" s="9"/>
      <c r="D30" s="9"/>
      <c r="Q30" s="1"/>
    </row>
    <row r="31" spans="1:21" x14ac:dyDescent="0.2">
      <c r="C31" s="9"/>
      <c r="D31" s="9"/>
      <c r="Q31" s="1"/>
    </row>
    <row r="32" spans="1:2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hyperlinks>
    <hyperlink ref="H3572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selection sqref="A1:D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57031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2">
      <c r="A1" s="27" t="s">
        <v>41</v>
      </c>
    </row>
    <row r="2" spans="1:6" x14ac:dyDescent="0.2">
      <c r="A2" t="s">
        <v>25</v>
      </c>
      <c r="B2" s="28" t="s">
        <v>38</v>
      </c>
      <c r="C2" s="2"/>
      <c r="D2" s="2"/>
    </row>
    <row r="3" spans="1:6" ht="13.5" thickBot="1" x14ac:dyDescent="0.25"/>
    <row r="4" spans="1:6" ht="14.25" thickTop="1" thickBot="1" x14ac:dyDescent="0.25">
      <c r="A4" s="29" t="s">
        <v>39</v>
      </c>
      <c r="C4" s="7">
        <v>52958.082599999849</v>
      </c>
      <c r="D4" s="8">
        <v>0.97840000000000005</v>
      </c>
    </row>
    <row r="5" spans="1:6" ht="13.5" thickTop="1" x14ac:dyDescent="0.2">
      <c r="A5" s="10" t="s">
        <v>32</v>
      </c>
      <c r="B5" s="11"/>
      <c r="C5" s="12">
        <v>8</v>
      </c>
      <c r="D5" s="11" t="s">
        <v>33</v>
      </c>
    </row>
    <row r="6" spans="1:6" x14ac:dyDescent="0.2">
      <c r="A6" s="4" t="s">
        <v>2</v>
      </c>
    </row>
    <row r="7" spans="1:6" x14ac:dyDescent="0.2">
      <c r="A7" t="s">
        <v>3</v>
      </c>
      <c r="C7">
        <f>+C4</f>
        <v>52958.082599999849</v>
      </c>
    </row>
    <row r="8" spans="1:6" x14ac:dyDescent="0.2">
      <c r="A8" t="s">
        <v>4</v>
      </c>
      <c r="C8">
        <f>+D4</f>
        <v>0.97840000000000005</v>
      </c>
    </row>
    <row r="9" spans="1:6" x14ac:dyDescent="0.2">
      <c r="A9" s="25" t="s">
        <v>37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1"/>
      <c r="B10" s="11"/>
      <c r="C10" s="3" t="s">
        <v>21</v>
      </c>
      <c r="D10" s="3" t="s">
        <v>22</v>
      </c>
      <c r="E10" s="11"/>
    </row>
    <row r="11" spans="1:6" x14ac:dyDescent="0.2">
      <c r="A11" s="11" t="s">
        <v>16</v>
      </c>
      <c r="B11" s="11"/>
      <c r="C11" s="22">
        <f ca="1">INTERCEPT(INDIRECT($D$9):G992,INDIRECT($C$9):F992)</f>
        <v>1.7373892719421691E-4</v>
      </c>
      <c r="D11" s="2"/>
      <c r="E11" s="11"/>
    </row>
    <row r="12" spans="1:6" x14ac:dyDescent="0.2">
      <c r="A12" s="11" t="s">
        <v>17</v>
      </c>
      <c r="B12" s="11"/>
      <c r="C12" s="22">
        <f ca="1">SLOPE(INDIRECT($D$9):G992,INDIRECT($C$9):F992)</f>
        <v>3.8155672457216372E-5</v>
      </c>
      <c r="D12" s="2"/>
      <c r="E12" s="11"/>
    </row>
    <row r="13" spans="1:6" x14ac:dyDescent="0.2">
      <c r="A13" s="11" t="s">
        <v>20</v>
      </c>
      <c r="B13" s="11"/>
      <c r="C13" s="2" t="s">
        <v>14</v>
      </c>
    </row>
    <row r="14" spans="1:6" x14ac:dyDescent="0.2">
      <c r="A14" s="11"/>
      <c r="B14" s="11"/>
      <c r="C14" s="11"/>
    </row>
    <row r="15" spans="1:6" x14ac:dyDescent="0.2">
      <c r="A15" s="13" t="s">
        <v>18</v>
      </c>
      <c r="B15" s="11"/>
      <c r="C15" s="14">
        <f ca="1">(C7+C11)+(C8+C12)*INT(MAX(F21:F3533))</f>
        <v>57355.183845330794</v>
      </c>
      <c r="E15" s="15" t="s">
        <v>44</v>
      </c>
      <c r="F15" s="12">
        <v>1</v>
      </c>
    </row>
    <row r="16" spans="1:6" x14ac:dyDescent="0.2">
      <c r="A16" s="17" t="s">
        <v>5</v>
      </c>
      <c r="B16" s="11"/>
      <c r="C16" s="18">
        <f ca="1">+C8+C12</f>
        <v>0.97843815567245729</v>
      </c>
      <c r="E16" s="15" t="s">
        <v>34</v>
      </c>
      <c r="F16" s="16">
        <f ca="1">NOW()+15018.5+$C$5/24</f>
        <v>60320.261737731482</v>
      </c>
    </row>
    <row r="17" spans="1:21" ht="13.5" thickBot="1" x14ac:dyDescent="0.25">
      <c r="A17" s="15" t="s">
        <v>31</v>
      </c>
      <c r="B17" s="11"/>
      <c r="C17" s="11">
        <f>COUNT(C21:C2191)</f>
        <v>6</v>
      </c>
      <c r="E17" s="15" t="s">
        <v>45</v>
      </c>
      <c r="F17" s="16">
        <f ca="1">ROUND(2*(F16-$C$7)/$C$8,0)/2+F15</f>
        <v>7525.5</v>
      </c>
    </row>
    <row r="18" spans="1:21" ht="14.25" thickTop="1" thickBot="1" x14ac:dyDescent="0.25">
      <c r="A18" s="17" t="s">
        <v>6</v>
      </c>
      <c r="B18" s="11"/>
      <c r="C18" s="20">
        <f ca="1">+C15</f>
        <v>57355.183845330794</v>
      </c>
      <c r="D18" s="21">
        <f ca="1">+C16</f>
        <v>0.97843815567245729</v>
      </c>
      <c r="E18" s="15" t="s">
        <v>35</v>
      </c>
      <c r="F18" s="24">
        <f ca="1">ROUND(2*(F16-$C$15)/$C$16,0)/2+F15</f>
        <v>3031.5</v>
      </c>
    </row>
    <row r="19" spans="1:21" ht="13.5" thickTop="1" x14ac:dyDescent="0.2">
      <c r="E19" s="15" t="s">
        <v>36</v>
      </c>
      <c r="F19" s="19">
        <f ca="1">+$C$15+$C$16*F18-15018.5-$C$5/24</f>
        <v>45302.485780918512</v>
      </c>
    </row>
    <row r="20" spans="1:21" ht="13.5" thickBot="1" x14ac:dyDescent="0.25">
      <c r="A20" s="3" t="s">
        <v>7</v>
      </c>
      <c r="B20" s="3" t="s">
        <v>8</v>
      </c>
      <c r="C20" s="3" t="s">
        <v>9</v>
      </c>
      <c r="D20" s="3" t="s">
        <v>13</v>
      </c>
      <c r="E20" s="3" t="s">
        <v>10</v>
      </c>
      <c r="F20" s="3" t="s">
        <v>11</v>
      </c>
      <c r="G20" s="3" t="s">
        <v>12</v>
      </c>
      <c r="H20" s="6" t="s">
        <v>30</v>
      </c>
      <c r="I20" s="6" t="s">
        <v>83</v>
      </c>
      <c r="J20" s="6" t="s">
        <v>19</v>
      </c>
      <c r="K20" s="6" t="s">
        <v>26</v>
      </c>
      <c r="L20" s="6" t="s">
        <v>27</v>
      </c>
      <c r="M20" s="6" t="s">
        <v>28</v>
      </c>
      <c r="N20" s="6" t="s">
        <v>29</v>
      </c>
      <c r="O20" s="6" t="s">
        <v>24</v>
      </c>
      <c r="P20" s="5" t="s">
        <v>23</v>
      </c>
      <c r="Q20" s="3" t="s">
        <v>15</v>
      </c>
      <c r="U20" s="49" t="s">
        <v>0</v>
      </c>
    </row>
    <row r="21" spans="1:21" x14ac:dyDescent="0.2">
      <c r="A21" s="30" t="s">
        <v>40</v>
      </c>
      <c r="C21" s="9">
        <v>52958.082599999849</v>
      </c>
      <c r="D21" s="9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>+C21-(C$7+F21*C$8)</f>
        <v>0</v>
      </c>
      <c r="H21">
        <f>+G21</f>
        <v>0</v>
      </c>
      <c r="O21">
        <f t="shared" ref="O21:O26" ca="1" si="2">+C$11+C$12*$F21</f>
        <v>1.7373892719421691E-4</v>
      </c>
      <c r="Q21" s="1">
        <f t="shared" ref="Q21:Q26" si="3">+C21-15018.5</f>
        <v>37939.582599999849</v>
      </c>
    </row>
    <row r="22" spans="1:21" x14ac:dyDescent="0.2">
      <c r="A22" s="31" t="s">
        <v>42</v>
      </c>
      <c r="B22" s="32" t="s">
        <v>43</v>
      </c>
      <c r="C22" s="31">
        <v>55071.5098</v>
      </c>
      <c r="D22" s="31">
        <v>4.0000000000000002E-4</v>
      </c>
      <c r="E22">
        <f t="shared" si="0"/>
        <v>2160.0850367949211</v>
      </c>
      <c r="F22">
        <f t="shared" si="1"/>
        <v>2160</v>
      </c>
      <c r="G22">
        <f>+C22-(C$7+F22*C$8)</f>
        <v>8.3200000153738074E-2</v>
      </c>
      <c r="H22">
        <f>+G22</f>
        <v>8.3200000153738074E-2</v>
      </c>
      <c r="O22">
        <f t="shared" ca="1" si="2"/>
        <v>8.2589991434781587E-2</v>
      </c>
      <c r="Q22" s="1">
        <f t="shared" si="3"/>
        <v>40053.0098</v>
      </c>
    </row>
    <row r="23" spans="1:21" x14ac:dyDescent="0.2">
      <c r="A23" s="24" t="s">
        <v>70</v>
      </c>
      <c r="B23" s="2" t="s">
        <v>43</v>
      </c>
      <c r="C23" s="9">
        <v>55849.3681</v>
      </c>
      <c r="D23" s="9" t="s">
        <v>57</v>
      </c>
      <c r="E23">
        <f t="shared" si="0"/>
        <v>2955.1160057237844</v>
      </c>
      <c r="F23">
        <f t="shared" si="1"/>
        <v>2955</v>
      </c>
      <c r="G23">
        <f>+C23-(C$7+F23*C$8)</f>
        <v>0.11350000015227124</v>
      </c>
      <c r="I23">
        <f>+G23</f>
        <v>0.11350000015227124</v>
      </c>
      <c r="O23">
        <f t="shared" ca="1" si="2"/>
        <v>0.1129237510382686</v>
      </c>
      <c r="Q23" s="1">
        <f t="shared" si="3"/>
        <v>40830.8681</v>
      </c>
    </row>
    <row r="24" spans="1:21" x14ac:dyDescent="0.2">
      <c r="A24" s="24" t="s">
        <v>70</v>
      </c>
      <c r="B24" s="2" t="s">
        <v>82</v>
      </c>
      <c r="C24" s="9">
        <v>55873.339699999997</v>
      </c>
      <c r="D24" s="9" t="s">
        <v>57</v>
      </c>
      <c r="E24">
        <f t="shared" si="0"/>
        <v>2979.6168233852695</v>
      </c>
      <c r="F24">
        <f t="shared" si="1"/>
        <v>2979.5</v>
      </c>
      <c r="G24">
        <f>+C24-(C$7+F24*C$8)</f>
        <v>0.11430000014661346</v>
      </c>
      <c r="I24">
        <f>+G24</f>
        <v>0.11430000014661346</v>
      </c>
      <c r="O24">
        <f t="shared" ca="1" si="2"/>
        <v>0.1138585650134704</v>
      </c>
      <c r="Q24" s="1">
        <f t="shared" si="3"/>
        <v>40854.839699999997</v>
      </c>
    </row>
    <row r="25" spans="1:21" x14ac:dyDescent="0.2">
      <c r="A25" s="31" t="s">
        <v>46</v>
      </c>
      <c r="B25" s="32" t="s">
        <v>43</v>
      </c>
      <c r="C25" s="31">
        <v>55875.783900000002</v>
      </c>
      <c r="D25" s="31">
        <v>1.8E-3</v>
      </c>
      <c r="E25">
        <f t="shared" si="0"/>
        <v>2982.1149836469267</v>
      </c>
      <c r="F25">
        <f t="shared" si="1"/>
        <v>2982</v>
      </c>
      <c r="G25">
        <f>+C25-(C$7+F25*C$8)</f>
        <v>0.11250000015570549</v>
      </c>
      <c r="H25">
        <f>+G25</f>
        <v>0.11250000015570549</v>
      </c>
      <c r="O25">
        <f t="shared" ca="1" si="2"/>
        <v>0.11395395419461343</v>
      </c>
      <c r="Q25" s="1">
        <f t="shared" si="3"/>
        <v>40857.283900000002</v>
      </c>
    </row>
    <row r="26" spans="1:21" x14ac:dyDescent="0.2">
      <c r="A26" s="46" t="s">
        <v>1</v>
      </c>
      <c r="B26" s="47" t="s">
        <v>43</v>
      </c>
      <c r="C26" s="48">
        <v>57355.434200000003</v>
      </c>
      <c r="D26" s="48">
        <v>1E-4</v>
      </c>
      <c r="E26">
        <f t="shared" si="0"/>
        <v>4494.4313164351533</v>
      </c>
      <c r="F26">
        <f t="shared" si="1"/>
        <v>4494.5</v>
      </c>
      <c r="O26">
        <f t="shared" ca="1" si="2"/>
        <v>0.17166440878615319</v>
      </c>
      <c r="Q26" s="1">
        <f t="shared" si="3"/>
        <v>42336.934200000003</v>
      </c>
      <c r="U26">
        <f>+C26-(C$7+F26*C$8)</f>
        <v>-6.7199999844888225E-2</v>
      </c>
    </row>
    <row r="27" spans="1:21" x14ac:dyDescent="0.2">
      <c r="C27" s="9"/>
      <c r="D27" s="9"/>
      <c r="Q27" s="1"/>
    </row>
    <row r="28" spans="1:21" x14ac:dyDescent="0.2">
      <c r="C28" s="9"/>
      <c r="D28" s="9"/>
      <c r="Q28" s="1"/>
    </row>
    <row r="29" spans="1:21" x14ac:dyDescent="0.2">
      <c r="C29" s="9"/>
      <c r="D29" s="9"/>
      <c r="Q29" s="1"/>
    </row>
    <row r="30" spans="1:21" x14ac:dyDescent="0.2">
      <c r="C30" s="9"/>
      <c r="D30" s="9"/>
      <c r="Q30" s="1"/>
    </row>
    <row r="31" spans="1:21" x14ac:dyDescent="0.2">
      <c r="C31" s="9"/>
      <c r="D31" s="9"/>
      <c r="Q31" s="1"/>
    </row>
    <row r="32" spans="1:21" x14ac:dyDescent="0.2">
      <c r="C32" s="9"/>
      <c r="D32" s="9"/>
      <c r="Q32" s="1"/>
    </row>
    <row r="33" spans="3:17" x14ac:dyDescent="0.2">
      <c r="C33" s="9"/>
      <c r="D33" s="9"/>
      <c r="Q33" s="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sheetProtection sheet="1"/>
  <phoneticPr fontId="8" type="noConversion"/>
  <hyperlinks>
    <hyperlink ref="H3572" r:id="rId1" display="http://vsolj.cetus-net.org/bulletin.html" xr:uid="{00000000-0004-0000-0100-000000000000}"/>
  </hyperlinks>
  <pageMargins left="0.75" right="0.75" top="1" bottom="1" header="0.5" footer="0.5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64"/>
  <sheetViews>
    <sheetView workbookViewId="0">
      <selection activeCell="A12" sqref="A12:D13"/>
    </sheetView>
  </sheetViews>
  <sheetFormatPr defaultRowHeight="12.75" x14ac:dyDescent="0.2"/>
  <cols>
    <col min="1" max="1" width="16.28515625" style="9" customWidth="1"/>
    <col min="2" max="2" width="4.42578125" style="11" customWidth="1"/>
    <col min="3" max="3" width="12.7109375" style="9" customWidth="1"/>
    <col min="4" max="4" width="3.5703125" style="11" customWidth="1"/>
    <col min="5" max="5" width="12.42578125" style="11" customWidth="1"/>
    <col min="6" max="6" width="5.42578125" style="11" customWidth="1"/>
    <col min="7" max="7" width="12" style="11" customWidth="1"/>
    <col min="8" max="8" width="7.28515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3" t="s">
        <v>47</v>
      </c>
      <c r="I1" s="34" t="s">
        <v>48</v>
      </c>
      <c r="J1" s="35" t="s">
        <v>49</v>
      </c>
    </row>
    <row r="2" spans="1:16" x14ac:dyDescent="0.2">
      <c r="I2" s="36" t="s">
        <v>50</v>
      </c>
      <c r="J2" s="37" t="s">
        <v>51</v>
      </c>
    </row>
    <row r="3" spans="1:16" x14ac:dyDescent="0.2">
      <c r="A3" s="38" t="s">
        <v>52</v>
      </c>
      <c r="I3" s="36" t="s">
        <v>53</v>
      </c>
      <c r="J3" s="37" t="s">
        <v>54</v>
      </c>
    </row>
    <row r="4" spans="1:16" x14ac:dyDescent="0.2">
      <c r="I4" s="36" t="s">
        <v>55</v>
      </c>
      <c r="J4" s="37" t="s">
        <v>54</v>
      </c>
    </row>
    <row r="5" spans="1:16" ht="13.5" thickBot="1" x14ac:dyDescent="0.25">
      <c r="I5" s="39" t="s">
        <v>56</v>
      </c>
      <c r="J5" s="40" t="s">
        <v>57</v>
      </c>
    </row>
    <row r="10" spans="1:16" ht="13.5" thickBot="1" x14ac:dyDescent="0.25"/>
    <row r="11" spans="1:16" ht="12.75" customHeight="1" thickBot="1" x14ac:dyDescent="0.25">
      <c r="A11" s="9" t="str">
        <f>P11</f>
        <v>BAVM 214 </v>
      </c>
      <c r="B11" s="2" t="str">
        <f>IF(H11=INT(H11),"I","II")</f>
        <v>I</v>
      </c>
      <c r="C11" s="9">
        <f>1*G11</f>
        <v>55071.5098</v>
      </c>
      <c r="D11" s="11" t="str">
        <f>VLOOKUP(F11,I$1:J$5,2,FALSE)</f>
        <v>vis</v>
      </c>
      <c r="E11" s="41">
        <f>VLOOKUP(C11,Active!C$21:E$973,3,FALSE)</f>
        <v>2160.0850367949211</v>
      </c>
      <c r="F11" s="2" t="s">
        <v>56</v>
      </c>
      <c r="G11" s="11" t="str">
        <f>MID(I11,3,LEN(I11)-3)</f>
        <v>55071.5098</v>
      </c>
      <c r="H11" s="9">
        <f>1*K11</f>
        <v>2160</v>
      </c>
      <c r="I11" s="42" t="s">
        <v>58</v>
      </c>
      <c r="J11" s="43" t="s">
        <v>59</v>
      </c>
      <c r="K11" s="42">
        <v>2160</v>
      </c>
      <c r="L11" s="42" t="s">
        <v>60</v>
      </c>
      <c r="M11" s="43" t="s">
        <v>61</v>
      </c>
      <c r="N11" s="43" t="s">
        <v>62</v>
      </c>
      <c r="O11" s="44" t="s">
        <v>63</v>
      </c>
      <c r="P11" s="45" t="s">
        <v>64</v>
      </c>
    </row>
    <row r="12" spans="1:16" ht="12.75" customHeight="1" thickBot="1" x14ac:dyDescent="0.25">
      <c r="A12" s="9" t="str">
        <f>P12</f>
        <v>BAVM 225 </v>
      </c>
      <c r="B12" s="2" t="str">
        <f>IF(H12=INT(H12),"I","II")</f>
        <v>I</v>
      </c>
      <c r="C12" s="9">
        <f>1*G12</f>
        <v>55849.3681</v>
      </c>
      <c r="D12" s="11" t="str">
        <f>VLOOKUP(F12,I$1:J$5,2,FALSE)</f>
        <v>vis</v>
      </c>
      <c r="E12" s="41">
        <f>VLOOKUP(C12,Active!C$21:E$973,3,FALSE)</f>
        <v>2955.1160057237844</v>
      </c>
      <c r="F12" s="2" t="s">
        <v>56</v>
      </c>
      <c r="G12" s="11" t="str">
        <f>MID(I12,3,LEN(I12)-3)</f>
        <v>55849.3681</v>
      </c>
      <c r="H12" s="9">
        <f>1*K12</f>
        <v>2955</v>
      </c>
      <c r="I12" s="42" t="s">
        <v>65</v>
      </c>
      <c r="J12" s="43" t="s">
        <v>66</v>
      </c>
      <c r="K12" s="42" t="s">
        <v>67</v>
      </c>
      <c r="L12" s="42" t="s">
        <v>68</v>
      </c>
      <c r="M12" s="43" t="s">
        <v>61</v>
      </c>
      <c r="N12" s="43" t="s">
        <v>62</v>
      </c>
      <c r="O12" s="44" t="s">
        <v>69</v>
      </c>
      <c r="P12" s="45" t="s">
        <v>70</v>
      </c>
    </row>
    <row r="13" spans="1:16" ht="12.75" customHeight="1" thickBot="1" x14ac:dyDescent="0.25">
      <c r="A13" s="9" t="str">
        <f>P13</f>
        <v>BAVM 225 </v>
      </c>
      <c r="B13" s="2" t="str">
        <f>IF(H13=INT(H13),"I","II")</f>
        <v>II</v>
      </c>
      <c r="C13" s="9">
        <f>1*G13</f>
        <v>55873.339699999997</v>
      </c>
      <c r="D13" s="11" t="str">
        <f>VLOOKUP(F13,I$1:J$5,2,FALSE)</f>
        <v>vis</v>
      </c>
      <c r="E13" s="41">
        <f>VLOOKUP(C13,Active!C$21:E$973,3,FALSE)</f>
        <v>2979.6168233852695</v>
      </c>
      <c r="F13" s="2" t="s">
        <v>56</v>
      </c>
      <c r="G13" s="11" t="str">
        <f>MID(I13,3,LEN(I13)-3)</f>
        <v>55873.3397</v>
      </c>
      <c r="H13" s="9">
        <f>1*K13</f>
        <v>2979.5</v>
      </c>
      <c r="I13" s="42" t="s">
        <v>71</v>
      </c>
      <c r="J13" s="43" t="s">
        <v>72</v>
      </c>
      <c r="K13" s="42" t="s">
        <v>73</v>
      </c>
      <c r="L13" s="42" t="s">
        <v>74</v>
      </c>
      <c r="M13" s="43" t="s">
        <v>61</v>
      </c>
      <c r="N13" s="43" t="s">
        <v>62</v>
      </c>
      <c r="O13" s="44" t="s">
        <v>69</v>
      </c>
      <c r="P13" s="45" t="s">
        <v>70</v>
      </c>
    </row>
    <row r="14" spans="1:16" ht="12.75" customHeight="1" thickBot="1" x14ac:dyDescent="0.25">
      <c r="A14" s="9" t="str">
        <f>P14</f>
        <v>IBVS 6011 </v>
      </c>
      <c r="B14" s="2" t="str">
        <f>IF(H14=INT(H14),"I","II")</f>
        <v>I</v>
      </c>
      <c r="C14" s="9">
        <f>1*G14</f>
        <v>55875.783900000002</v>
      </c>
      <c r="D14" s="11" t="str">
        <f>VLOOKUP(F14,I$1:J$5,2,FALSE)</f>
        <v>vis</v>
      </c>
      <c r="E14" s="41">
        <f>VLOOKUP(C14,Active!C$21:E$973,3,FALSE)</f>
        <v>2982.1149836469267</v>
      </c>
      <c r="F14" s="2" t="s">
        <v>56</v>
      </c>
      <c r="G14" s="11" t="str">
        <f>MID(I14,3,LEN(I14)-3)</f>
        <v>55875.7839</v>
      </c>
      <c r="H14" s="9">
        <f>1*K14</f>
        <v>2982</v>
      </c>
      <c r="I14" s="42" t="s">
        <v>75</v>
      </c>
      <c r="J14" s="43" t="s">
        <v>76</v>
      </c>
      <c r="K14" s="42" t="s">
        <v>77</v>
      </c>
      <c r="L14" s="42" t="s">
        <v>78</v>
      </c>
      <c r="M14" s="43" t="s">
        <v>61</v>
      </c>
      <c r="N14" s="43" t="s">
        <v>79</v>
      </c>
      <c r="O14" s="44" t="s">
        <v>80</v>
      </c>
      <c r="P14" s="45" t="s">
        <v>81</v>
      </c>
    </row>
    <row r="15" spans="1:16" x14ac:dyDescent="0.2">
      <c r="B15" s="2"/>
      <c r="F15" s="2"/>
    </row>
    <row r="16" spans="1:16" x14ac:dyDescent="0.2">
      <c r="B16" s="2"/>
      <c r="F16" s="2"/>
    </row>
    <row r="17" spans="2:6" x14ac:dyDescent="0.2">
      <c r="B17" s="2"/>
      <c r="F17" s="2"/>
    </row>
    <row r="18" spans="2:6" x14ac:dyDescent="0.2">
      <c r="B18" s="2"/>
      <c r="F18" s="2"/>
    </row>
    <row r="19" spans="2:6" x14ac:dyDescent="0.2">
      <c r="B19" s="2"/>
      <c r="F19" s="2"/>
    </row>
    <row r="20" spans="2:6" x14ac:dyDescent="0.2">
      <c r="B20" s="2"/>
      <c r="F20" s="2"/>
    </row>
    <row r="21" spans="2:6" x14ac:dyDescent="0.2">
      <c r="B21" s="2"/>
      <c r="F21" s="2"/>
    </row>
    <row r="22" spans="2:6" x14ac:dyDescent="0.2">
      <c r="B22" s="2"/>
      <c r="F22" s="2"/>
    </row>
    <row r="23" spans="2:6" x14ac:dyDescent="0.2">
      <c r="B23" s="2"/>
      <c r="F23" s="2"/>
    </row>
    <row r="24" spans="2:6" x14ac:dyDescent="0.2">
      <c r="B24" s="2"/>
      <c r="F24" s="2"/>
    </row>
    <row r="25" spans="2:6" x14ac:dyDescent="0.2">
      <c r="B25" s="2"/>
      <c r="F25" s="2"/>
    </row>
    <row r="26" spans="2:6" x14ac:dyDescent="0.2">
      <c r="B26" s="2"/>
      <c r="F26" s="2"/>
    </row>
    <row r="27" spans="2:6" x14ac:dyDescent="0.2">
      <c r="B27" s="2"/>
      <c r="F27" s="2"/>
    </row>
    <row r="28" spans="2:6" x14ac:dyDescent="0.2">
      <c r="B28" s="2"/>
      <c r="F28" s="2"/>
    </row>
    <row r="29" spans="2:6" x14ac:dyDescent="0.2">
      <c r="B29" s="2"/>
      <c r="F29" s="2"/>
    </row>
    <row r="30" spans="2:6" x14ac:dyDescent="0.2">
      <c r="B30" s="2"/>
      <c r="F30" s="2"/>
    </row>
    <row r="31" spans="2:6" x14ac:dyDescent="0.2">
      <c r="B31" s="2"/>
      <c r="F31" s="2"/>
    </row>
    <row r="32" spans="2:6" x14ac:dyDescent="0.2">
      <c r="B32" s="2"/>
      <c r="F32" s="2"/>
    </row>
    <row r="33" spans="2:6" x14ac:dyDescent="0.2">
      <c r="B33" s="2"/>
      <c r="F33" s="2"/>
    </row>
    <row r="34" spans="2:6" x14ac:dyDescent="0.2">
      <c r="B34" s="2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</sheetData>
  <phoneticPr fontId="8" type="noConversion"/>
  <hyperlinks>
    <hyperlink ref="A3" r:id="rId1" xr:uid="{00000000-0004-0000-0200-000000000000}"/>
    <hyperlink ref="P11" r:id="rId2" display="http://www.bav-astro.de/sfs/BAVM_link.php?BAVMnr=214" xr:uid="{00000000-0004-0000-0200-000001000000}"/>
    <hyperlink ref="P12" r:id="rId3" display="http://www.bav-astro.de/sfs/BAVM_link.php?BAVMnr=225" xr:uid="{00000000-0004-0000-0200-000002000000}"/>
    <hyperlink ref="P13" r:id="rId4" display="http://www.bav-astro.de/sfs/BAVM_link.php?BAVMnr=225" xr:uid="{00000000-0004-0000-0200-000003000000}"/>
    <hyperlink ref="P14" r:id="rId5" display="http://www.konkoly.hu/cgi-bin/IBVS?6011" xr:uid="{00000000-0004-0000-02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(2)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2024-01-09T23:46:54Z</dcterms:modified>
</cp:coreProperties>
</file>