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C1C71BB-301C-4902-99CA-1EA3713C7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H23" i="1" s="1"/>
  <c r="Q23" i="1"/>
  <c r="F14" i="1"/>
  <c r="E24" i="1"/>
  <c r="F24" i="1" s="1"/>
  <c r="G24" i="1" s="1"/>
  <c r="J24" i="1" s="1"/>
  <c r="Q24" i="1"/>
  <c r="E22" i="1"/>
  <c r="F22" i="1" s="1"/>
  <c r="G22" i="1" s="1"/>
  <c r="I22" i="1" s="1"/>
  <c r="F11" i="1"/>
  <c r="E21" i="1"/>
  <c r="F21" i="1" s="1"/>
  <c r="Q22" i="1"/>
  <c r="G11" i="1"/>
  <c r="C17" i="1"/>
  <c r="Q21" i="1"/>
  <c r="F15" i="1" l="1"/>
  <c r="G21" i="1"/>
  <c r="C11" i="1"/>
  <c r="C12" i="1"/>
  <c r="O23" i="1" l="1"/>
  <c r="C16" i="1"/>
  <c r="D18" i="1" s="1"/>
  <c r="I21" i="1"/>
  <c r="O24" i="1"/>
  <c r="O21" i="1"/>
  <c r="O22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<sst xmlns="http://schemas.openxmlformats.org/spreadsheetml/2006/main" count="59" uniqueCount="53">
  <si>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</si>
  <si>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</si>
  <si>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</si>
  <si>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</si>
  <si>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</si>
  <si>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</si>
  <si>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</si>
  <si>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</si>
  <si>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</si>
  <si>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</si>
  <si>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</si>
  <si>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</si>
  <si>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</si>
  <si>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</si>
  <si>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</si>
  <si>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</si>
  <si>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</si>
  <si>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</si>
  <si>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</si>
  <si>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</si>
  <si>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</si>
  <si>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</si>
  <si>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</si>
  <si>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</si>
  <si>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</si>
  <si>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</si>
  <si>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</si>
  <si>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</si>
  <si>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</si>
  <si>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</si>
  <si>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</si>
  <si>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</si>
  <si>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</si>
  <si>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</si>
  <si>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</si>
  <si>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</si>
  <si>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</si>
  <si>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 xml:space="preserve">XY Ant / GSC 7195-2533               </t>
  </si>
  <si>
    <t>Kriemer</t>
  </si>
  <si>
    <t>IBVS 5809</t>
  </si>
  <si>
    <t>EA</t>
  </si>
  <si>
    <t>JBAV, 63</t>
  </si>
  <si>
    <t>II</t>
  </si>
  <si>
    <t xml:space="preserve">Mag </t>
  </si>
  <si>
    <t>Add cycle</t>
  </si>
  <si>
    <t>Old Cycle</t>
  </si>
  <si>
    <t>Next ToM-P</t>
  </si>
  <si>
    <t>Next ToM-S</t>
  </si>
  <si>
    <t>VSX</t>
  </si>
  <si>
    <t>CCD?</t>
  </si>
  <si>
    <t>CCD</t>
  </si>
  <si>
    <t>9.90-10.64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</si>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</sst>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6" fillId="0" borderId="0" xfId="0" applyFont="1" applyAlignment="1"/>
    <xf numFmtId="0" fontId="0" fillId="0" borderId="3" xfId="0" applyBorder="1" applyAlignme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0" fillId="0" borderId="3" xfId="0" applyFont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Ant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-1806</c:v>
                </c:pt>
                <c:pt idx="1">
                  <c:v>-1427</c:v>
                </c:pt>
                <c:pt idx="2">
                  <c:v>0</c:v>
                </c:pt>
                <c:pt idx="3">
                  <c:v>1478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B2-4289-AAB6-C129DD0D2C5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-1806</c:v>
                </c:pt>
                <c:pt idx="1">
                  <c:v>-1427</c:v>
                </c:pt>
                <c:pt idx="2">
                  <c:v>0</c:v>
                </c:pt>
                <c:pt idx="3">
                  <c:v>1478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2.2714000078849494E-3</c:v>
                </c:pt>
                <c:pt idx="1">
                  <c:v>1.5913000024738722E-3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B2-4289-AAB6-C129DD0D2C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-1806</c:v>
                </c:pt>
                <c:pt idx="1">
                  <c:v>-1427</c:v>
                </c:pt>
                <c:pt idx="2">
                  <c:v>0</c:v>
                </c:pt>
                <c:pt idx="3">
                  <c:v>1478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">
                  <c:v>5.4718000028515235E-3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B2-4289-AAB6-C129DD0D2C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-1806</c:v>
                </c:pt>
                <c:pt idx="1">
                  <c:v>-1427</c:v>
                </c:pt>
                <c:pt idx="2">
                  <c:v>0</c:v>
                </c:pt>
                <c:pt idx="3">
                  <c:v>1478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B2-4289-AAB6-C129DD0D2C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-1806</c:v>
                </c:pt>
                <c:pt idx="1">
                  <c:v>-1427</c:v>
                </c:pt>
                <c:pt idx="2">
                  <c:v>0</c:v>
                </c:pt>
                <c:pt idx="3">
                  <c:v>1478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B2-4289-AAB6-C129DD0D2C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-1806</c:v>
                </c:pt>
                <c:pt idx="1">
                  <c:v>-1427</c:v>
                </c:pt>
                <c:pt idx="2">
                  <c:v>0</c:v>
                </c:pt>
                <c:pt idx="3">
                  <c:v>1478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B2-4289-AAB6-C129DD0D2C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-1806</c:v>
                </c:pt>
                <c:pt idx="1">
                  <c:v>-1427</c:v>
                </c:pt>
                <c:pt idx="2">
                  <c:v>0</c:v>
                </c:pt>
                <c:pt idx="3">
                  <c:v>1478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B2-4289-AAB6-C129DD0D2C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-1806</c:v>
                </c:pt>
                <c:pt idx="1">
                  <c:v>-1427</c:v>
                </c:pt>
                <c:pt idx="2">
                  <c:v>0</c:v>
                </c:pt>
                <c:pt idx="3">
                  <c:v>1478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1.1502131835877583E-3</c:v>
                </c:pt>
                <c:pt idx="1">
                  <c:v>1.478253468591905E-3</c:v>
                </c:pt>
                <c:pt idx="2">
                  <c:v>2.7133814018397086E-3</c:v>
                </c:pt>
                <c:pt idx="3">
                  <c:v>3.992651959190973E-3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B2-4289-AAB6-C129DD0D2C5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Active!$F$21:$F$982</c:f>
              <c:numCache>
                <c:formatCode>General</c:formatCode>
                <c:ptCount val="962"/>
                <c:pt idx="0">
                  <c:v>-1806</c:v>
                </c:pt>
                <c:pt idx="1">
                  <c:v>-1427</c:v>
                </c:pt>
                <c:pt idx="2">
                  <c:v>0</c:v>
                </c:pt>
                <c:pt idx="3">
                  <c:v>1478</c:v>
                </c:pt>
              </c:numCache>
            </c:numRef>
          </c:xVal>
          <c:yVal>
            <c:numRef>
              <c:f>Active!$P$21:$P$982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32-4358-8016-B0DAA8D8C58E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Active!$F$21:$F$982</c:f>
              <c:numCache>
                <c:formatCode>General</c:formatCode>
                <c:ptCount val="962"/>
                <c:pt idx="0">
                  <c:v>-1806</c:v>
                </c:pt>
                <c:pt idx="1">
                  <c:v>-1427</c:v>
                </c:pt>
                <c:pt idx="2">
                  <c:v>0</c:v>
                </c:pt>
                <c:pt idx="3">
                  <c:v>1478</c:v>
                </c:pt>
              </c:numCache>
            </c:numRef>
          </c:xVal>
          <c:yVal>
            <c:numRef>
              <c:f>Active!$S$21:$S$982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32-4358-8016-B0DAA8D8C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415824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-1806</c:v>
                      </c:pt>
                      <c:pt idx="1">
                        <c:v>-1427</c:v>
                      </c:pt>
                      <c:pt idx="2">
                        <c:v>0</c:v>
                      </c:pt>
                      <c:pt idx="3">
                        <c:v>1478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Active!$Q$21:$Q$982</c15:sqref>
                        </c15:formulaRef>
                      </c:ext>
                    </c:extLst>
                    <c:numCache>
                      <c:formatCode>m/d/yyyy</c:formatCode>
                      <c:ptCount val="962"/>
                      <c:pt idx="0">
                        <c:v>37482.800000000003</c:v>
                      </c:pt>
                      <c:pt idx="1">
                        <c:v>38309.1489</c:v>
                      </c:pt>
                      <c:pt idx="2">
                        <c:v>41420.495199999998</c:v>
                      </c:pt>
                      <c:pt idx="3">
                        <c:v>44643.046000000002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9532-4358-8016-B0DAA8D8C58E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-1806</c:v>
                      </c:pt>
                      <c:pt idx="1">
                        <c:v>-1427</c:v>
                      </c:pt>
                      <c:pt idx="2">
                        <c:v>0</c:v>
                      </c:pt>
                      <c:pt idx="3">
                        <c:v>1478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9532-4358-8016-B0DAA8D8C58E}"/>
                  </c:ext>
                </c:extLst>
              </c15:ser>
            </c15:filteredScatterSeries>
          </c:ext>
        </c:extLst>
      </c:scatterChart>
      <c:valAx>
        <c:axId val="708415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415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75639097744360906"/>
          <c:h val="5.50984635692468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6C25A7-2035-FDE3-E7A4-768023600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23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52501.3</v>
      </c>
      <c r="D4" s="9">
        <v>2.180345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 s="32">
        <v>56438.995199999998</v>
      </c>
      <c r="D7" s="32" t="s">
        <v>48</v>
      </c>
      <c r="E7">
        <v>52501.3</v>
      </c>
    </row>
    <row r="8" spans="1:7" x14ac:dyDescent="0.2">
      <c r="A8" t="s">
        <v>3</v>
      </c>
      <c r="C8" s="32">
        <v>2.1803419000000002</v>
      </c>
      <c r="D8" s="32" t="s">
        <v>48</v>
      </c>
      <c r="E8">
        <v>2.180345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1">
        <f ca="1">INTERCEPT(INDIRECT($G$11):G975,INDIRECT($F$11):F975)</f>
        <v>2.7133814018397086E-3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16</v>
      </c>
      <c r="B12" s="12"/>
      <c r="C12" s="21">
        <f ca="1">SLOPE(INDIRECT($G$11):G975,INDIRECT($F$11):F975)</f>
        <v>8.655416490874587E-7</v>
      </c>
      <c r="D12" s="3"/>
      <c r="E12" s="36" t="s">
        <v>43</v>
      </c>
      <c r="F12" s="37" t="s">
        <v>51</v>
      </c>
    </row>
    <row r="13" spans="1:7" x14ac:dyDescent="0.2">
      <c r="A13" s="12" t="s">
        <v>18</v>
      </c>
      <c r="B13" s="12"/>
      <c r="C13" s="3" t="s">
        <v>13</v>
      </c>
      <c r="D13" s="3"/>
      <c r="E13" s="38" t="s">
        <v>44</v>
      </c>
      <c r="F13" s="39">
        <v>1</v>
      </c>
    </row>
    <row r="14" spans="1:7" x14ac:dyDescent="0.2">
      <c r="A14" s="12"/>
      <c r="B14" s="12"/>
      <c r="C14" s="12"/>
      <c r="D14" s="12"/>
      <c r="E14" s="38" t="s">
        <v>31</v>
      </c>
      <c r="F14" s="40">
        <f ca="1">NOW()+15018.5+$C$9/24</f>
        <v>60514.736168287032</v>
      </c>
    </row>
    <row r="15" spans="1:7" x14ac:dyDescent="0.2">
      <c r="A15" s="14" t="s">
        <v>17</v>
      </c>
      <c r="B15" s="12"/>
      <c r="C15" s="15">
        <f ca="1">(C7+C11)+(C8+C12)*INT(MAX(F21:F3516))</f>
        <v>59661.544520851952</v>
      </c>
      <c r="D15" s="16" t="s">
        <v>31</v>
      </c>
      <c r="E15" s="38" t="s">
        <v>45</v>
      </c>
      <c r="F15" s="40">
        <f ca="1">ROUND(2*($F$14-$C$7)/$C$8,0)/2+$F$13</f>
        <v>1870.5</v>
      </c>
    </row>
    <row r="16" spans="1:7" x14ac:dyDescent="0.2">
      <c r="A16" s="17" t="s">
        <v>4</v>
      </c>
      <c r="B16" s="12"/>
      <c r="C16" s="18">
        <f ca="1">+C8+C12</f>
        <v>2.1803427655416492</v>
      </c>
      <c r="D16" s="16" t="s">
        <v>32</v>
      </c>
      <c r="E16" s="38" t="s">
        <v>32</v>
      </c>
      <c r="F16" s="40">
        <f ca="1">ROUND(2*($F$14-$C$15)/$C$16,0)/2+$F$13</f>
        <v>392.5</v>
      </c>
    </row>
    <row r="17" spans="1:23" ht="13.5" thickBot="1" x14ac:dyDescent="0.25">
      <c r="A17" s="16" t="s">
        <v>28</v>
      </c>
      <c r="B17" s="12"/>
      <c r="C17" s="12">
        <f>COUNT(C21:C2174)</f>
        <v>4</v>
      </c>
      <c r="D17" s="16" t="s">
        <v>33</v>
      </c>
      <c r="E17" s="41" t="s">
        <v>46</v>
      </c>
      <c r="F17" s="42">
        <f ca="1">+$C$15+$C$16*$F$16-15018.5-$C$9/24</f>
        <v>45499.224889660385</v>
      </c>
    </row>
    <row r="18" spans="1:23" ht="14.25" thickTop="1" thickBot="1" x14ac:dyDescent="0.25">
      <c r="A18" s="17" t="s">
        <v>5</v>
      </c>
      <c r="B18" s="12"/>
      <c r="C18" s="19">
        <f ca="1">+C15</f>
        <v>59661.544520851952</v>
      </c>
      <c r="D18" s="20">
        <f ca="1">+C16</f>
        <v>2.1803427655416492</v>
      </c>
      <c r="E18" s="44" t="s">
        <v>47</v>
      </c>
      <c r="F18" s="43">
        <f ca="1">+($C$15+$C$16*$F$16)-($C$16/2)-15018.5-$C$9/24</f>
        <v>45498.134718277615</v>
      </c>
    </row>
    <row r="19" spans="1:23" ht="13.5" thickTop="1" x14ac:dyDescent="0.2">
      <c r="A19" s="24" t="s">
        <v>34</v>
      </c>
      <c r="E19" s="25">
        <v>21</v>
      </c>
    </row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49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33"/>
      <c r="S20" s="49" t="s">
        <v>52</v>
      </c>
    </row>
    <row r="21" spans="1:23" x14ac:dyDescent="0.2">
      <c r="A21" s="45" t="s">
        <v>38</v>
      </c>
      <c r="B21" s="27" t="s">
        <v>35</v>
      </c>
      <c r="C21" s="45">
        <v>52501.3</v>
      </c>
      <c r="D21" s="45"/>
      <c r="E21">
        <f>+(C21-C$7)/C$8</f>
        <v>-1805.9989582367766</v>
      </c>
      <c r="F21">
        <f>ROUND(2*E21,0)/2</f>
        <v>-1806</v>
      </c>
      <c r="G21">
        <f>+C21-(C$7+F21*C$8)</f>
        <v>2.2714000078849494E-3</v>
      </c>
      <c r="I21">
        <f>+G21</f>
        <v>2.2714000078849494E-3</v>
      </c>
      <c r="O21">
        <f ca="1">+C$11+C$12*$F21</f>
        <v>1.1502131835877583E-3</v>
      </c>
      <c r="Q21" s="2">
        <f>+C21-15018.5</f>
        <v>37482.800000000003</v>
      </c>
      <c r="W21" s="26" t="s">
        <v>36</v>
      </c>
    </row>
    <row r="22" spans="1:23" x14ac:dyDescent="0.2">
      <c r="A22" s="28" t="s">
        <v>39</v>
      </c>
      <c r="B22" s="34" t="s">
        <v>35</v>
      </c>
      <c r="C22" s="46">
        <v>53327.6489</v>
      </c>
      <c r="D22" s="46">
        <v>6.9999999999999999E-4</v>
      </c>
      <c r="E22">
        <f>+(C22-C$7)/C$8</f>
        <v>-1426.9992701603346</v>
      </c>
      <c r="F22">
        <f>ROUND(2*E22,0)/2</f>
        <v>-1427</v>
      </c>
      <c r="G22">
        <f>+C22-(C$7+F22*C$8)</f>
        <v>1.5913000024738722E-3</v>
      </c>
      <c r="I22">
        <f>+G22</f>
        <v>1.5913000024738722E-3</v>
      </c>
      <c r="O22">
        <f ca="1">+C$11+C$12*$F22</f>
        <v>1.478253468591905E-3</v>
      </c>
      <c r="Q22" s="2">
        <f>+C22-15018.5</f>
        <v>38309.1489</v>
      </c>
    </row>
    <row r="23" spans="1:23" x14ac:dyDescent="0.2">
      <c r="A23" s="32" t="s">
        <v>48</v>
      </c>
      <c r="B23" s="47"/>
      <c r="C23" s="48">
        <v>56438.995199999998</v>
      </c>
      <c r="D23" s="48"/>
      <c r="E23">
        <f>+(C23-C$7)/C$8</f>
        <v>0</v>
      </c>
      <c r="F23">
        <f>ROUND(2*E23,0)/2</f>
        <v>0</v>
      </c>
      <c r="G23">
        <f>+C23-(C$7+F23*C$8)</f>
        <v>0</v>
      </c>
      <c r="H23">
        <f>+G23</f>
        <v>0</v>
      </c>
      <c r="O23">
        <f ca="1">+C$11+C$12*$F23</f>
        <v>2.7133814018397086E-3</v>
      </c>
      <c r="Q23" s="2">
        <f>+C23-15018.5</f>
        <v>41420.495199999998</v>
      </c>
    </row>
    <row r="24" spans="1:23" x14ac:dyDescent="0.2">
      <c r="A24" s="29" t="s">
        <v>41</v>
      </c>
      <c r="B24" s="35" t="s">
        <v>42</v>
      </c>
      <c r="C24" s="30">
        <v>59661.546000000002</v>
      </c>
      <c r="D24" s="31">
        <v>8.0000000000000002E-3</v>
      </c>
      <c r="E24">
        <f>+(C24-C$7)/C$8</f>
        <v>1478.0025096064082</v>
      </c>
      <c r="F24">
        <f>ROUND(2*E24,0)/2</f>
        <v>1478</v>
      </c>
      <c r="G24">
        <f>+C24-(C$7+F24*C$8)</f>
        <v>5.4718000028515235E-3</v>
      </c>
      <c r="J24">
        <f>+G24</f>
        <v>5.4718000028515235E-3</v>
      </c>
      <c r="O24">
        <f ca="1">+C$11+C$12*$F24</f>
        <v>3.992651959190973E-3</v>
      </c>
      <c r="Q24" s="2">
        <f>+C24-15018.5</f>
        <v>44643.046000000002</v>
      </c>
    </row>
    <row r="25" spans="1:23" x14ac:dyDescent="0.2">
      <c r="A25" s="32"/>
      <c r="B25" s="47"/>
      <c r="C25" s="48"/>
      <c r="D25" s="48"/>
    </row>
    <row r="26" spans="1:23" x14ac:dyDescent="0.2">
      <c r="A26" s="32"/>
      <c r="B26" s="47"/>
      <c r="C26" s="48"/>
      <c r="D26" s="48"/>
    </row>
    <row r="27" spans="1:23" x14ac:dyDescent="0.2">
      <c r="A27" s="32"/>
      <c r="B27" s="47"/>
      <c r="C27" s="48"/>
      <c r="D27" s="48"/>
    </row>
    <row r="28" spans="1:23" x14ac:dyDescent="0.2">
      <c r="A28" s="32"/>
      <c r="B28" s="47"/>
      <c r="C28" s="48"/>
      <c r="D28" s="48"/>
    </row>
    <row r="29" spans="1:23" x14ac:dyDescent="0.2">
      <c r="B29" s="3"/>
      <c r="C29" s="10"/>
      <c r="D29" s="10"/>
    </row>
    <row r="30" spans="1:23" x14ac:dyDescent="0.2">
      <c r="C30" s="10"/>
      <c r="D30" s="10"/>
    </row>
    <row r="31" spans="1:23" x14ac:dyDescent="0.2">
      <c r="C31" s="10"/>
      <c r="D31" s="10"/>
    </row>
    <row r="32" spans="1:23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Y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2024-07-23T05:40:04Z</dcterms:modified>
</cp:coreProperties>
</file>