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FEACECD-74BA-494C-BE6F-E63217C576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3" r:id="rId1"/>
    <sheet name="Inactive" sheetId="2" r:id="rId2"/>
  </sheets>
  <calcPr calcId="181029"/>
</workbook>
</file>

<file path=xl/calcChain.xml><?xml version="1.0" encoding="utf-8"?>
<calcChain xmlns="http://schemas.openxmlformats.org/spreadsheetml/2006/main">
  <c r="E22" i="3" l="1"/>
  <c r="F22" i="3" s="1"/>
  <c r="G22" i="3" s="1"/>
  <c r="N22" i="3" s="1"/>
  <c r="Q22" i="3"/>
  <c r="C22" i="3"/>
  <c r="A22" i="3"/>
  <c r="F14" i="3"/>
  <c r="F15" i="3" s="1"/>
  <c r="E27" i="3"/>
  <c r="F27" i="3" s="1"/>
  <c r="G27" i="3" s="1"/>
  <c r="J27" i="3" s="1"/>
  <c r="Q27" i="3"/>
  <c r="E26" i="3"/>
  <c r="F26" i="3" s="1"/>
  <c r="G26" i="3" s="1"/>
  <c r="J26" i="3" s="1"/>
  <c r="E23" i="3"/>
  <c r="F23" i="3" s="1"/>
  <c r="G23" i="3" s="1"/>
  <c r="I23" i="3" s="1"/>
  <c r="E24" i="3"/>
  <c r="F24" i="3" s="1"/>
  <c r="G24" i="3" s="1"/>
  <c r="I24" i="3" s="1"/>
  <c r="E25" i="3"/>
  <c r="F25" i="3" s="1"/>
  <c r="G25" i="3" s="1"/>
  <c r="I25" i="3" s="1"/>
  <c r="F11" i="3"/>
  <c r="Q26" i="3"/>
  <c r="G11" i="3"/>
  <c r="C17" i="3"/>
  <c r="Q24" i="3"/>
  <c r="Q23" i="3"/>
  <c r="Q25" i="3"/>
  <c r="G11" i="2"/>
  <c r="F11" i="2"/>
  <c r="E15" i="2"/>
  <c r="C17" i="2"/>
  <c r="Q24" i="2"/>
  <c r="F22" i="2"/>
  <c r="G22" i="2"/>
  <c r="I22" i="2"/>
  <c r="C7" i="2"/>
  <c r="C8" i="2"/>
  <c r="E24" i="2"/>
  <c r="F24" i="2"/>
  <c r="C21" i="2"/>
  <c r="Q21" i="2"/>
  <c r="E21" i="2"/>
  <c r="F21" i="2"/>
  <c r="G21" i="2"/>
  <c r="H21" i="2"/>
  <c r="E22" i="2"/>
  <c r="Q22" i="2"/>
  <c r="E23" i="2"/>
  <c r="F23" i="2"/>
  <c r="G23" i="2"/>
  <c r="I23" i="2"/>
  <c r="Q23" i="2"/>
  <c r="G24" i="2"/>
  <c r="I24" i="2"/>
  <c r="C11" i="3"/>
  <c r="C11" i="2"/>
  <c r="C12" i="2"/>
  <c r="C12" i="3"/>
  <c r="O22" i="3" l="1"/>
  <c r="Q21" i="3"/>
  <c r="E21" i="3"/>
  <c r="F21" i="3" s="1"/>
  <c r="O21" i="3" s="1"/>
  <c r="C16" i="2"/>
  <c r="D18" i="2" s="1"/>
  <c r="O24" i="2"/>
  <c r="O21" i="2"/>
  <c r="O22" i="2"/>
  <c r="O23" i="2"/>
  <c r="C15" i="2"/>
  <c r="O24" i="3"/>
  <c r="O27" i="3"/>
  <c r="O23" i="3"/>
  <c r="O26" i="3"/>
  <c r="O25" i="3"/>
  <c r="C15" i="3"/>
  <c r="C16" i="3"/>
  <c r="D18" i="3" s="1"/>
  <c r="G21" i="3" l="1"/>
  <c r="H21" i="3" s="1"/>
  <c r="E16" i="2"/>
  <c r="E17" i="2" s="1"/>
  <c r="C18" i="3"/>
  <c r="F16" i="3"/>
  <c r="F17" i="3" s="1"/>
  <c r="C18" i="2"/>
  <c r="F18" i="3" l="1"/>
</calcChain>
</file>

<file path=xl/sharedStrings.xml><?xml version="1.0" encoding="utf-8"?>
<sst xmlns="http://schemas.openxmlformats.org/spreadsheetml/2006/main" count="106" uniqueCount="57">
  <si>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</si>
  <si>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</si>
  <si>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</si>
  <si>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</si>
  <si>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</si>
  <si>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</si>
  <si>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</si>
  <si>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</si>
  <si>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</si>
  <si>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</si>
  <si>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</si>
  <si>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</si>
  <si>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</si>
  <si>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</si>
  <si>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</si>
  <si>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</si>
  <si>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</si>
  <si>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</si>
  <si>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</si>
  <si>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</si>
  <si>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</si>
  <si>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</si>
  <si>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</si>
  <si>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</si>
  <si>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</si>
  <si>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</si>
  <si>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</si>
  <si>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</si>
  <si>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</si>
  <si>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</si>
  <si>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</si>
  <si>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</si>
  <si>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IBVS 5731</t>
  </si>
  <si>
    <t>EW</t>
  </si>
  <si>
    <t>AF Aps / gsc 9433-2159</t>
  </si>
  <si>
    <t>IBVS 5653</t>
  </si>
  <si>
    <t>II?</t>
  </si>
  <si>
    <t>IBVS 5761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</si>
  <si>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</si>
  <si>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</si>
  <si>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</si>
  <si>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</si>
  <si>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</si>
  <si>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</si>
  <si>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</si>
  <si>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</si>
  <si>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0073</t>
  </si>
  <si>
    <t>OEJV 116</t>
  </si>
  <si>
    <t>Add cycle</t>
  </si>
  <si>
    <t>Old Cycle</t>
  </si>
  <si>
    <t xml:space="preserve">Mag </t>
  </si>
  <si>
    <t>Next ToM-P</t>
  </si>
  <si>
    <t>Next ToM-S</t>
  </si>
  <si>
    <t>13.40-14.10</t>
  </si>
  <si>
    <t>VSX</t>
  </si>
  <si>
    <t>EW/KE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</si>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</sst>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1" xfId="0" applyBorder="1" applyAlignment="1"/>
    <xf numFmtId="0" fontId="0" fillId="2" borderId="1" xfId="0" applyFill="1" applyBorder="1" applyAlignme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165" fontId="16" fillId="0" borderId="0" xfId="0" applyNumberFormat="1" applyFont="1" applyAlignment="1">
      <alignment horizontal="left" vertical="top"/>
    </xf>
    <xf numFmtId="0" fontId="17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3" borderId="7" xfId="0" applyFont="1" applyFill="1" applyBorder="1" applyAlignment="1">
      <alignment horizontal="right" vertical="center"/>
    </xf>
    <xf numFmtId="0" fontId="17" fillId="3" borderId="8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3" fillId="0" borderId="10" xfId="0" applyFont="1" applyBorder="1">
      <alignment vertical="top"/>
    </xf>
    <xf numFmtId="0" fontId="9" fillId="0" borderId="10" xfId="0" applyFont="1" applyBorder="1">
      <alignment vertical="top"/>
    </xf>
    <xf numFmtId="0" fontId="8" fillId="0" borderId="10" xfId="0" applyFont="1" applyBorder="1" applyAlignment="1"/>
    <xf numFmtId="22" fontId="8" fillId="0" borderId="10" xfId="0" applyNumberFormat="1" applyFont="1" applyBorder="1">
      <alignment vertical="top"/>
    </xf>
    <xf numFmtId="22" fontId="19" fillId="0" borderId="11" xfId="0" applyNumberFormat="1" applyFont="1" applyBorder="1" applyAlignment="1"/>
    <xf numFmtId="0" fontId="18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Aps - O-C Diagr.</a:t>
            </a:r>
          </a:p>
        </c:rich>
      </c:tx>
      <c:layout>
        <c:manualLayout>
          <c:xMode val="edge"/>
          <c:yMode val="edge"/>
          <c:x val="0.3780294183743994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32926857594126"/>
          <c:y val="0.14678942920199375"/>
          <c:w val="0.8232062142674643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-0.1652172000030987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25-41A6-B505-7C80377E3A3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2">
                  <c:v>7.6239999907556921E-4</c:v>
                </c:pt>
                <c:pt idx="3">
                  <c:v>2.1079999714856967E-4</c:v>
                </c:pt>
                <c:pt idx="4">
                  <c:v>6.5919999906327575E-4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25-41A6-B505-7C80377E3A3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5">
                  <c:v>-1.1039981473004445E-4</c:v>
                </c:pt>
                <c:pt idx="6">
                  <c:v>5.1600000006146729E-5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25-41A6-B505-7C80377E3A3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25-41A6-B505-7C80377E3A3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25-41A6-B505-7C80377E3A3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25-41A6-B505-7C80377E3A3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25-41A6-B505-7C80377E3A3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1.659800369056082E-3</c:v>
                </c:pt>
                <c:pt idx="1">
                  <c:v>3.6813318826361502E-4</c:v>
                </c:pt>
                <c:pt idx="2">
                  <c:v>3.1224405757522436E-4</c:v>
                </c:pt>
                <c:pt idx="3">
                  <c:v>2.7696977017353515E-4</c:v>
                </c:pt>
                <c:pt idx="4">
                  <c:v>2.4169548277184596E-4</c:v>
                </c:pt>
                <c:pt idx="5">
                  <c:v>2.1656500714615273E-4</c:v>
                </c:pt>
                <c:pt idx="6">
                  <c:v>1.5799267463314376E-4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25-41A6-B505-7C80377E3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294928"/>
        <c:axId val="1"/>
      </c:scatterChart>
      <c:valAx>
        <c:axId val="28429492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8872535924932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8281321029561576E-2"/>
              <c:y val="0.37003144877160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4294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55428915488954"/>
          <c:y val="0.9204921861831491"/>
          <c:w val="0.7237484894355894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Aps - O-C Diagr.</a:t>
            </a:r>
          </a:p>
        </c:rich>
      </c:tx>
      <c:layout>
        <c:manualLayout>
          <c:xMode val="edge"/>
          <c:yMode val="edge"/>
          <c:x val="0.377419354838709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64516129032257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-0.1652172000030987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AF-46E7-BF99-C393500F4FC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2">
                  <c:v>7.6239999907556921E-4</c:v>
                </c:pt>
                <c:pt idx="3">
                  <c:v>2.1079999714856967E-4</c:v>
                </c:pt>
                <c:pt idx="4">
                  <c:v>6.5919999906327575E-4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AF-46E7-BF99-C393500F4FC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5">
                  <c:v>-1.1039981473004445E-4</c:v>
                </c:pt>
                <c:pt idx="6">
                  <c:v>5.1600000006146729E-5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AF-46E7-BF99-C393500F4FC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AF-46E7-BF99-C393500F4FC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AF-46E7-BF99-C393500F4FC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AF-46E7-BF99-C393500F4FC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5.0000000000000001E-3</c:v>
                  </c:pt>
                  <c:pt idx="5">
                    <c:v>2E-3</c:v>
                  </c:pt>
                  <c:pt idx="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AF-46E7-BF99-C393500F4FC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-19737</c:v>
                </c:pt>
                <c:pt idx="1">
                  <c:v>0</c:v>
                </c:pt>
                <c:pt idx="2">
                  <c:v>854</c:v>
                </c:pt>
                <c:pt idx="3">
                  <c:v>1393</c:v>
                </c:pt>
                <c:pt idx="4">
                  <c:v>1932</c:v>
                </c:pt>
                <c:pt idx="5">
                  <c:v>2316</c:v>
                </c:pt>
                <c:pt idx="6">
                  <c:v>3211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1.659800369056082E-3</c:v>
                </c:pt>
                <c:pt idx="1">
                  <c:v>3.6813318826361502E-4</c:v>
                </c:pt>
                <c:pt idx="2">
                  <c:v>3.1224405757522436E-4</c:v>
                </c:pt>
                <c:pt idx="3">
                  <c:v>2.7696977017353515E-4</c:v>
                </c:pt>
                <c:pt idx="4">
                  <c:v>2.4169548277184596E-4</c:v>
                </c:pt>
                <c:pt idx="5">
                  <c:v>2.1656500714615273E-4</c:v>
                </c:pt>
                <c:pt idx="6">
                  <c:v>1.5799267463314376E-4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AF-46E7-BF99-C393500F4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747632"/>
        <c:axId val="1"/>
      </c:scatterChart>
      <c:valAx>
        <c:axId val="449747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47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38709677419356"/>
          <c:y val="0.92073298764483702"/>
          <c:w val="0.722580645161290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Aps - O-C Diagr.</a:t>
            </a:r>
          </a:p>
        </c:rich>
      </c:tx>
      <c:layout>
        <c:manualLayout>
          <c:xMode val="edge"/>
          <c:yMode val="edge"/>
          <c:x val="0.3780294183743994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78942920199375"/>
          <c:w val="0.8190636509425255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21130.5</c:v>
                </c:pt>
                <c:pt idx="2">
                  <c:v>20591.5</c:v>
                </c:pt>
                <c:pt idx="3">
                  <c:v>21669.5</c:v>
                </c:pt>
              </c:numCache>
            </c:numRef>
          </c:xVal>
          <c:yVal>
            <c:numRef>
              <c:f>Inactive!$H$21:$H$999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BC-44CB-B5AA-EB86138AD933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21130.5</c:v>
                </c:pt>
                <c:pt idx="2">
                  <c:v>20591.5</c:v>
                </c:pt>
                <c:pt idx="3">
                  <c:v>21669.5</c:v>
                </c:pt>
              </c:numCache>
            </c:numRef>
          </c:xVal>
          <c:yVal>
            <c:numRef>
              <c:f>Inactive!$I$21:$I$999</c:f>
              <c:numCache>
                <c:formatCode>General</c:formatCode>
                <c:ptCount val="979"/>
                <c:pt idx="1">
                  <c:v>2.395250000001397</c:v>
                </c:pt>
                <c:pt idx="2">
                  <c:v>2.328750000007858</c:v>
                </c:pt>
                <c:pt idx="3">
                  <c:v>2.4627500000060536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BC-44CB-B5AA-EB86138AD933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21130.5</c:v>
                </c:pt>
                <c:pt idx="2">
                  <c:v>20591.5</c:v>
                </c:pt>
                <c:pt idx="3">
                  <c:v>21669.5</c:v>
                </c:pt>
              </c:numCache>
            </c:numRef>
          </c:xVal>
          <c:yVal>
            <c:numRef>
              <c:f>Inactive!$J$21:$J$999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BC-44CB-B5AA-EB86138AD933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21130.5</c:v>
                </c:pt>
                <c:pt idx="2">
                  <c:v>20591.5</c:v>
                </c:pt>
                <c:pt idx="3">
                  <c:v>21669.5</c:v>
                </c:pt>
              </c:numCache>
            </c:numRef>
          </c:xVal>
          <c:yVal>
            <c:numRef>
              <c:f>Inactive!$K$21:$K$999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BC-44CB-B5AA-EB86138AD933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21130.5</c:v>
                </c:pt>
                <c:pt idx="2">
                  <c:v>20591.5</c:v>
                </c:pt>
                <c:pt idx="3">
                  <c:v>21669.5</c:v>
                </c:pt>
              </c:numCache>
            </c:numRef>
          </c:xVal>
          <c:yVal>
            <c:numRef>
              <c:f>Inactive!$L$21:$L$999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BC-44CB-B5AA-EB86138AD933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21130.5</c:v>
                </c:pt>
                <c:pt idx="2">
                  <c:v>20591.5</c:v>
                </c:pt>
                <c:pt idx="3">
                  <c:v>21669.5</c:v>
                </c:pt>
              </c:numCache>
            </c:numRef>
          </c:xVal>
          <c:yVal>
            <c:numRef>
              <c:f>Inactive!$M$21:$M$999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BC-44CB-B5AA-EB86138AD933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21130.5</c:v>
                </c:pt>
                <c:pt idx="2">
                  <c:v>20591.5</c:v>
                </c:pt>
                <c:pt idx="3">
                  <c:v>21669.5</c:v>
                </c:pt>
              </c:numCache>
            </c:numRef>
          </c:xVal>
          <c:yVal>
            <c:numRef>
              <c:f>Inactive!$N$21:$N$999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BC-44CB-B5AA-EB86138AD933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21130.5</c:v>
                </c:pt>
                <c:pt idx="2">
                  <c:v>20591.5</c:v>
                </c:pt>
                <c:pt idx="3">
                  <c:v>21669.5</c:v>
                </c:pt>
              </c:numCache>
            </c:numRef>
          </c:xVal>
          <c:yVal>
            <c:numRef>
              <c:f>Inactive!$O$21:$O$999</c:f>
              <c:numCache>
                <c:formatCode>General</c:formatCode>
                <c:ptCount val="979"/>
                <c:pt idx="0">
                  <c:v>-3.0012327139194994E-4</c:v>
                </c:pt>
                <c:pt idx="1">
                  <c:v>2.3956833744289003</c:v>
                </c:pt>
                <c:pt idx="2">
                  <c:v>2.3345662638418125</c:v>
                </c:pt>
                <c:pt idx="3">
                  <c:v>2.4568004850159881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BC-44CB-B5AA-EB86138A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157352"/>
        <c:axId val="1"/>
      </c:scatterChart>
      <c:valAx>
        <c:axId val="461157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157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86123584309634"/>
          <c:y val="0.9204921861831491"/>
          <c:w val="0.7237484894355895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0</xdr:row>
      <xdr:rowOff>0</xdr:rowOff>
    </xdr:from>
    <xdr:to>
      <xdr:col>18</xdr:col>
      <xdr:colOff>38101</xdr:colOff>
      <xdr:row>18</xdr:row>
      <xdr:rowOff>95250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9059EA81-AD63-25FC-F7B8-DB71E7F04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152400</xdr:colOff>
      <xdr:row>0</xdr:row>
      <xdr:rowOff>0</xdr:rowOff>
    </xdr:from>
    <xdr:to>
      <xdr:col>26</xdr:col>
      <xdr:colOff>571500</xdr:colOff>
      <xdr:row>18</xdr:row>
      <xdr:rowOff>47625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433F6686-2489-B383-60E1-5B329A4D2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19050</xdr:rowOff>
    </xdr:from>
    <xdr:to>
      <xdr:col>15</xdr:col>
      <xdr:colOff>276225</xdr:colOff>
      <xdr:row>18</xdr:row>
      <xdr:rowOff>57150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9EFB4F1-34E9-BEDC-AD08-BF372D3BA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3.425781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34</v>
      </c>
    </row>
    <row r="2" spans="1:7" x14ac:dyDescent="0.2">
      <c r="A2" t="s">
        <v>25</v>
      </c>
      <c r="B2" s="13" t="s">
        <v>55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36690.398999999998</v>
      </c>
      <c r="D4" s="9">
        <v>0.79749999999999999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v>52433.277000000002</v>
      </c>
      <c r="D7" s="38" t="s">
        <v>54</v>
      </c>
    </row>
    <row r="8" spans="1:7" x14ac:dyDescent="0.2">
      <c r="A8" t="s">
        <v>3</v>
      </c>
      <c r="C8">
        <v>0.79762440000000001</v>
      </c>
      <c r="D8" s="38" t="s">
        <v>54</v>
      </c>
    </row>
    <row r="9" spans="1:7" x14ac:dyDescent="0.2">
      <c r="A9" s="18" t="s">
        <v>39</v>
      </c>
      <c r="B9" s="10"/>
      <c r="C9" s="19">
        <v>-9.5</v>
      </c>
      <c r="D9" s="10" t="s">
        <v>40</v>
      </c>
      <c r="E9" s="10"/>
    </row>
    <row r="10" spans="1:7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7" x14ac:dyDescent="0.2">
      <c r="A11" s="10" t="s">
        <v>16</v>
      </c>
      <c r="B11" s="10"/>
      <c r="C11" s="20">
        <f ca="1">INTERCEPT(INDIRECT($G$11):G992,INDIRECT($F$11):F992)</f>
        <v>3.6813318826361502E-4</v>
      </c>
      <c r="D11" s="3"/>
      <c r="E11" s="10"/>
      <c r="F11" s="21" t="str">
        <f>"F"&amp;E19</f>
        <v>F22</v>
      </c>
      <c r="G11" s="22" t="str">
        <f>"G"&amp;E19</f>
        <v>G22</v>
      </c>
    </row>
    <row r="12" spans="1:7" x14ac:dyDescent="0.2">
      <c r="A12" s="10" t="s">
        <v>17</v>
      </c>
      <c r="B12" s="10"/>
      <c r="C12" s="20">
        <f ca="1">SLOPE(INDIRECT($G$11):G992,INDIRECT($F$11):F992)</f>
        <v>-6.5443946941909455E-8</v>
      </c>
      <c r="D12" s="3"/>
      <c r="E12" s="43" t="s">
        <v>50</v>
      </c>
      <c r="F12" s="44" t="s">
        <v>53</v>
      </c>
    </row>
    <row r="13" spans="1:7" x14ac:dyDescent="0.2">
      <c r="A13" s="10" t="s">
        <v>20</v>
      </c>
      <c r="B13" s="10"/>
      <c r="C13" s="3" t="s">
        <v>14</v>
      </c>
      <c r="E13" s="45" t="s">
        <v>48</v>
      </c>
      <c r="F13" s="46">
        <v>1</v>
      </c>
    </row>
    <row r="14" spans="1:7" x14ac:dyDescent="0.2">
      <c r="A14" s="10"/>
      <c r="B14" s="10"/>
      <c r="C14" s="10"/>
      <c r="E14" s="45" t="s">
        <v>41</v>
      </c>
      <c r="F14" s="47">
        <f ca="1">NOW()+15018.5+$C$9/24</f>
        <v>60520.837046064815</v>
      </c>
    </row>
    <row r="15" spans="1:7" x14ac:dyDescent="0.2">
      <c r="A15" s="23" t="s">
        <v>18</v>
      </c>
      <c r="B15" s="10"/>
      <c r="C15" s="24">
        <f ca="1">(C7+C11)+(C8+C12)*INT(MAX(F21:F3533))</f>
        <v>54994.449106392676</v>
      </c>
      <c r="E15" s="45" t="s">
        <v>49</v>
      </c>
      <c r="F15" s="47">
        <f ca="1">ROUND(2*(F14-$C$7)/$C$8,0)/2+F13</f>
        <v>10140.5</v>
      </c>
    </row>
    <row r="16" spans="1:7" x14ac:dyDescent="0.2">
      <c r="A16" s="27" t="s">
        <v>4</v>
      </c>
      <c r="B16" s="10"/>
      <c r="C16" s="28">
        <f ca="1">+C8+C12</f>
        <v>0.79762433455605308</v>
      </c>
      <c r="E16" s="45" t="s">
        <v>42</v>
      </c>
      <c r="F16" s="48">
        <f ca="1">ROUND(2*(F14-$C$15)/$C$16,0)/2+F13</f>
        <v>6929.5</v>
      </c>
    </row>
    <row r="17" spans="1:17" ht="13.5" thickBot="1" x14ac:dyDescent="0.25">
      <c r="A17" s="25" t="s">
        <v>31</v>
      </c>
      <c r="B17" s="10"/>
      <c r="C17" s="10">
        <f>COUNT(C21:C2191)</f>
        <v>7</v>
      </c>
      <c r="E17" s="45" t="s">
        <v>51</v>
      </c>
      <c r="F17" s="49">
        <f ca="1">+$C$15+$C$16*$F$16-15018.5-$C$9/24</f>
        <v>45503.482766032183</v>
      </c>
    </row>
    <row r="18" spans="1:17" ht="14.25" thickTop="1" thickBot="1" x14ac:dyDescent="0.25">
      <c r="A18" s="27" t="s">
        <v>5</v>
      </c>
      <c r="B18" s="10"/>
      <c r="C18" s="30">
        <f ca="1">+C15</f>
        <v>54994.449106392676</v>
      </c>
      <c r="D18" s="31">
        <f ca="1">+C16</f>
        <v>0.79762433455605308</v>
      </c>
      <c r="E18" s="51" t="s">
        <v>52</v>
      </c>
      <c r="F18" s="50">
        <f ca="1">+($C$15+$C$16*$F$16)-($C$16/2)-15018.5-$C$9/24</f>
        <v>45503.083953864902</v>
      </c>
    </row>
    <row r="19" spans="1:17" ht="13.5" thickTop="1" x14ac:dyDescent="0.2">
      <c r="A19" s="33" t="s">
        <v>45</v>
      </c>
      <c r="E19" s="34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30</v>
      </c>
      <c r="J20" s="7" t="s">
        <v>56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B21" s="39"/>
      <c r="C21" s="12">
        <v>36690.398999999998</v>
      </c>
      <c r="D21" s="12" t="s">
        <v>14</v>
      </c>
      <c r="E21">
        <f t="shared" ref="E21:E27" si="0">+(C21-C$7)/C$8</f>
        <v>-19737.207136592115</v>
      </c>
      <c r="F21">
        <f t="shared" ref="F21:F27" si="1">ROUND(2*E21,0)/2</f>
        <v>-19737</v>
      </c>
      <c r="G21">
        <f t="shared" ref="G21:G27" si="2">+C21-(C$7+F21*C$8)</f>
        <v>-0.1652172000030987</v>
      </c>
      <c r="H21">
        <f>+G21</f>
        <v>-0.1652172000030987</v>
      </c>
      <c r="O21">
        <f t="shared" ref="O21:O27" ca="1" si="3">+C$11+C$12*$F21</f>
        <v>1.659800369056082E-3</v>
      </c>
      <c r="Q21" s="2">
        <f t="shared" ref="Q21:Q27" si="4">+C21-15018.5</f>
        <v>21671.898999999998</v>
      </c>
    </row>
    <row r="22" spans="1:17" x14ac:dyDescent="0.2">
      <c r="A22" t="str">
        <f>$D$7</f>
        <v>VSX</v>
      </c>
      <c r="B22" s="39"/>
      <c r="C22" s="12">
        <f>$C$7</f>
        <v>52433.277000000002</v>
      </c>
      <c r="D22" s="12"/>
      <c r="E22" s="14">
        <f t="shared" si="0"/>
        <v>0</v>
      </c>
      <c r="F22">
        <f t="shared" si="1"/>
        <v>0</v>
      </c>
      <c r="G22" s="14">
        <f t="shared" si="2"/>
        <v>0</v>
      </c>
      <c r="N22">
        <f>+G22</f>
        <v>0</v>
      </c>
      <c r="O22">
        <f t="shared" ca="1" si="3"/>
        <v>3.6813318826361502E-4</v>
      </c>
      <c r="Q22" s="2">
        <f t="shared" si="4"/>
        <v>37414.777000000002</v>
      </c>
    </row>
    <row r="23" spans="1:17" x14ac:dyDescent="0.2">
      <c r="A23" s="10" t="s">
        <v>35</v>
      </c>
      <c r="B23" s="39" t="s">
        <v>36</v>
      </c>
      <c r="C23" s="12">
        <v>53114.449000000001</v>
      </c>
      <c r="D23" s="12">
        <v>1E-3</v>
      </c>
      <c r="E23" s="14">
        <f t="shared" si="0"/>
        <v>854.00095583836037</v>
      </c>
      <c r="F23">
        <f t="shared" si="1"/>
        <v>854</v>
      </c>
      <c r="G23" s="14">
        <f t="shared" si="2"/>
        <v>7.6239999907556921E-4</v>
      </c>
      <c r="I23">
        <f>+G23</f>
        <v>7.6239999907556921E-4</v>
      </c>
      <c r="O23">
        <f t="shared" ca="1" si="3"/>
        <v>3.1224405757522436E-4</v>
      </c>
      <c r="Q23" s="2">
        <f t="shared" si="4"/>
        <v>38095.949000000001</v>
      </c>
    </row>
    <row r="24" spans="1:17" x14ac:dyDescent="0.2">
      <c r="A24" s="10" t="s">
        <v>32</v>
      </c>
      <c r="B24" s="40"/>
      <c r="C24" s="12">
        <v>53544.368000000002</v>
      </c>
      <c r="D24" s="12">
        <v>2E-3</v>
      </c>
      <c r="E24" s="14">
        <f t="shared" si="0"/>
        <v>1393.0002642847942</v>
      </c>
      <c r="F24">
        <f t="shared" si="1"/>
        <v>1393</v>
      </c>
      <c r="G24" s="14">
        <f t="shared" si="2"/>
        <v>2.1079999714856967E-4</v>
      </c>
      <c r="I24">
        <f>+G24</f>
        <v>2.1079999714856967E-4</v>
      </c>
      <c r="O24">
        <f t="shared" ca="1" si="3"/>
        <v>2.7696977017353515E-4</v>
      </c>
      <c r="Q24" s="2">
        <f t="shared" si="4"/>
        <v>38525.868000000002</v>
      </c>
    </row>
    <row r="25" spans="1:17" x14ac:dyDescent="0.2">
      <c r="A25" s="17" t="s">
        <v>37</v>
      </c>
      <c r="B25" s="39" t="s">
        <v>38</v>
      </c>
      <c r="C25" s="17">
        <v>53974.288</v>
      </c>
      <c r="D25" s="17">
        <v>5.0000000000000001E-3</v>
      </c>
      <c r="E25" s="14">
        <f t="shared" si="0"/>
        <v>1932.0008264541539</v>
      </c>
      <c r="F25">
        <f t="shared" si="1"/>
        <v>1932</v>
      </c>
      <c r="G25" s="14">
        <f t="shared" si="2"/>
        <v>6.5919999906327575E-4</v>
      </c>
      <c r="I25">
        <f>+G25</f>
        <v>6.5919999906327575E-4</v>
      </c>
      <c r="O25">
        <f t="shared" ca="1" si="3"/>
        <v>2.4169548277184596E-4</v>
      </c>
      <c r="Q25" s="2">
        <f t="shared" si="4"/>
        <v>38955.788</v>
      </c>
    </row>
    <row r="26" spans="1:17" x14ac:dyDescent="0.2">
      <c r="A26" s="35" t="s">
        <v>46</v>
      </c>
      <c r="B26" s="41" t="s">
        <v>38</v>
      </c>
      <c r="C26" s="35">
        <v>54280.575000000186</v>
      </c>
      <c r="D26" s="35">
        <v>2E-3</v>
      </c>
      <c r="E26" s="14">
        <f t="shared" si="0"/>
        <v>2315.9998615892196</v>
      </c>
      <c r="F26">
        <f t="shared" si="1"/>
        <v>2316</v>
      </c>
      <c r="G26" s="14">
        <f t="shared" si="2"/>
        <v>-1.1039981473004445E-4</v>
      </c>
      <c r="J26">
        <f>+G26</f>
        <v>-1.1039981473004445E-4</v>
      </c>
      <c r="O26">
        <f t="shared" ca="1" si="3"/>
        <v>2.1656500714615273E-4</v>
      </c>
      <c r="Q26" s="2">
        <f t="shared" si="4"/>
        <v>39262.075000000186</v>
      </c>
    </row>
    <row r="27" spans="1:17" x14ac:dyDescent="0.2">
      <c r="A27" s="36" t="s">
        <v>47</v>
      </c>
      <c r="B27" s="42" t="s">
        <v>38</v>
      </c>
      <c r="C27" s="37">
        <v>54994.449000000001</v>
      </c>
      <c r="D27" s="37">
        <v>2E-3</v>
      </c>
      <c r="E27" s="14">
        <f t="shared" si="0"/>
        <v>3211.0000646921017</v>
      </c>
      <c r="F27">
        <f t="shared" si="1"/>
        <v>3211</v>
      </c>
      <c r="G27" s="14">
        <f t="shared" si="2"/>
        <v>5.1600000006146729E-5</v>
      </c>
      <c r="J27">
        <f>+G27</f>
        <v>5.1600000006146729E-5</v>
      </c>
      <c r="O27">
        <f t="shared" ca="1" si="3"/>
        <v>1.5799267463314376E-4</v>
      </c>
      <c r="Q27" s="2">
        <f t="shared" si="4"/>
        <v>39975.949000000001</v>
      </c>
    </row>
    <row r="28" spans="1:17" x14ac:dyDescent="0.2">
      <c r="B28" s="39"/>
      <c r="C28" s="12"/>
      <c r="D28" s="12"/>
      <c r="Q28" s="2"/>
    </row>
    <row r="29" spans="1:17" x14ac:dyDescent="0.2">
      <c r="C29" s="12"/>
      <c r="D29" s="12"/>
      <c r="Q29" s="2"/>
    </row>
    <row r="30" spans="1:17" x14ac:dyDescent="0.2">
      <c r="C30" s="12"/>
      <c r="D30" s="12"/>
      <c r="Q30" s="2"/>
    </row>
    <row r="31" spans="1:17" x14ac:dyDescent="0.2">
      <c r="C31" s="12"/>
      <c r="D31" s="12"/>
      <c r="Q31" s="2"/>
    </row>
    <row r="32" spans="1:17" x14ac:dyDescent="0.2">
      <c r="D32" s="3"/>
      <c r="Q32" s="2"/>
    </row>
    <row r="33" spans="4:17" x14ac:dyDescent="0.2">
      <c r="D33" s="3"/>
      <c r="Q33" s="2"/>
    </row>
    <row r="34" spans="4:17" x14ac:dyDescent="0.2">
      <c r="D34" s="3"/>
    </row>
    <row r="35" spans="4:17" x14ac:dyDescent="0.2">
      <c r="D35" s="3"/>
    </row>
    <row r="36" spans="4:17" x14ac:dyDescent="0.2">
      <c r="D36" s="3"/>
    </row>
    <row r="37" spans="4:17" x14ac:dyDescent="0.2">
      <c r="D37" s="3"/>
    </row>
    <row r="38" spans="4:17" x14ac:dyDescent="0.2">
      <c r="D38" s="3"/>
    </row>
    <row r="39" spans="4:17" x14ac:dyDescent="0.2">
      <c r="D39" s="3"/>
    </row>
    <row r="40" spans="4:17" x14ac:dyDescent="0.2">
      <c r="D40" s="3"/>
    </row>
    <row r="41" spans="4:17" x14ac:dyDescent="0.2">
      <c r="D41" s="3"/>
    </row>
    <row r="42" spans="4:17" x14ac:dyDescent="0.2">
      <c r="D42" s="3"/>
    </row>
    <row r="43" spans="4:17" x14ac:dyDescent="0.2">
      <c r="D43" s="3"/>
    </row>
    <row r="44" spans="4:17" x14ac:dyDescent="0.2">
      <c r="D44" s="3"/>
    </row>
    <row r="45" spans="4:17" x14ac:dyDescent="0.2">
      <c r="D45" s="3"/>
    </row>
    <row r="46" spans="4:17" x14ac:dyDescent="0.2">
      <c r="D46" s="3"/>
    </row>
    <row r="47" spans="4:17" x14ac:dyDescent="0.2">
      <c r="D47" s="3"/>
    </row>
    <row r="48" spans="4:17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  <row r="52" spans="4:4" x14ac:dyDescent="0.2">
      <c r="D52" s="3"/>
    </row>
  </sheetData>
  <sortState xmlns:xlrd2="http://schemas.microsoft.com/office/spreadsheetml/2017/richdata2" ref="A21:T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2"/>
  <sheetViews>
    <sheetView workbookViewId="0">
      <selection activeCell="I30" sqref="I3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34</v>
      </c>
    </row>
    <row r="2" spans="1:7" x14ac:dyDescent="0.2">
      <c r="A2" t="s">
        <v>25</v>
      </c>
      <c r="B2" s="13" t="s">
        <v>33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36690.398999999998</v>
      </c>
      <c r="D4" s="9">
        <v>0.79749999999999999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36690.398999999998</v>
      </c>
    </row>
    <row r="8" spans="1:7" x14ac:dyDescent="0.2">
      <c r="A8" t="s">
        <v>3</v>
      </c>
      <c r="C8">
        <f>+D4</f>
        <v>0.79749999999999999</v>
      </c>
    </row>
    <row r="9" spans="1:7" x14ac:dyDescent="0.2">
      <c r="A9" s="18" t="s">
        <v>39</v>
      </c>
      <c r="B9" s="10"/>
      <c r="C9" s="19">
        <v>8</v>
      </c>
      <c r="D9" s="10" t="s">
        <v>40</v>
      </c>
      <c r="E9" s="10"/>
    </row>
    <row r="10" spans="1:7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7" x14ac:dyDescent="0.2">
      <c r="A11" s="10" t="s">
        <v>16</v>
      </c>
      <c r="B11" s="10"/>
      <c r="C11" s="20">
        <f ca="1">INTERCEPT(INDIRECT($G$11):G992,INDIRECT($F$11):F992)</f>
        <v>-3.0012327139194994E-4</v>
      </c>
      <c r="D11" s="3"/>
      <c r="E11" s="10"/>
      <c r="F11" s="21" t="str">
        <f>"F"&amp;E19</f>
        <v>F21</v>
      </c>
      <c r="G11" s="22" t="str">
        <f>"G"&amp;E19</f>
        <v>G21</v>
      </c>
    </row>
    <row r="12" spans="1:7" x14ac:dyDescent="0.2">
      <c r="A12" s="10" t="s">
        <v>17</v>
      </c>
      <c r="B12" s="10"/>
      <c r="C12" s="20">
        <f ca="1">SLOPE(INDIRECT($G$11):G992,INDIRECT($F$11):F992)</f>
        <v>1.1338981556045963E-4</v>
      </c>
      <c r="D12" s="3"/>
      <c r="E12" s="10"/>
    </row>
    <row r="13" spans="1:7" x14ac:dyDescent="0.2">
      <c r="A13" s="10" t="s">
        <v>20</v>
      </c>
      <c r="B13" s="10"/>
      <c r="C13" s="3" t="s">
        <v>14</v>
      </c>
      <c r="D13" s="3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23" t="s">
        <v>18</v>
      </c>
      <c r="B15" s="10"/>
      <c r="C15" s="24">
        <f ca="1">(C7+C11)+(C8+C12)*INT(MAX(F21:F3533))</f>
        <v>53973.883243790107</v>
      </c>
      <c r="D15" s="25" t="s">
        <v>41</v>
      </c>
      <c r="E15" s="26">
        <f ca="1">TODAY()+15018.5-B9/24</f>
        <v>60520.5</v>
      </c>
    </row>
    <row r="16" spans="1:7" x14ac:dyDescent="0.2">
      <c r="A16" s="27" t="s">
        <v>4</v>
      </c>
      <c r="B16" s="10"/>
      <c r="C16" s="28">
        <f ca="1">+C8+C12</f>
        <v>0.7976133898155604</v>
      </c>
      <c r="D16" s="25" t="s">
        <v>42</v>
      </c>
      <c r="E16" s="26">
        <f ca="1">ROUND(2*(E15-C15)/C16,0)/2+1</f>
        <v>8209</v>
      </c>
    </row>
    <row r="17" spans="1:17" ht="13.5" thickBot="1" x14ac:dyDescent="0.25">
      <c r="A17" s="25" t="s">
        <v>31</v>
      </c>
      <c r="B17" s="10"/>
      <c r="C17" s="10">
        <f>COUNT(C21:C2191)</f>
        <v>4</v>
      </c>
      <c r="D17" s="25" t="s">
        <v>43</v>
      </c>
      <c r="E17" s="29">
        <f ca="1">+C15+C16*E16-15018.5-C9/24</f>
        <v>45502.65822745271</v>
      </c>
    </row>
    <row r="18" spans="1:17" ht="14.25" thickTop="1" thickBot="1" x14ac:dyDescent="0.25">
      <c r="A18" s="27" t="s">
        <v>5</v>
      </c>
      <c r="B18" s="10"/>
      <c r="C18" s="30">
        <f ca="1">+C15</f>
        <v>53973.883243790107</v>
      </c>
      <c r="D18" s="31">
        <f ca="1">+C16</f>
        <v>0.7976133898155604</v>
      </c>
      <c r="E18" s="32" t="s">
        <v>44</v>
      </c>
    </row>
    <row r="19" spans="1:17" ht="13.5" thickTop="1" x14ac:dyDescent="0.2">
      <c r="A19" s="33" t="s">
        <v>45</v>
      </c>
      <c r="E19" s="34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>
        <f>+C4</f>
        <v>36690.398999999998</v>
      </c>
      <c r="D21" s="3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-3.0012327139194994E-4</v>
      </c>
      <c r="Q21" s="2">
        <f>+C21-15018.5</f>
        <v>21671.898999999998</v>
      </c>
    </row>
    <row r="22" spans="1:17" x14ac:dyDescent="0.2">
      <c r="A22" s="10" t="s">
        <v>32</v>
      </c>
      <c r="B22" s="11"/>
      <c r="C22" s="12">
        <v>53544.368000000002</v>
      </c>
      <c r="D22" s="12">
        <v>2E-3</v>
      </c>
      <c r="E22" s="14">
        <f>+(C22-C$7)/C$8</f>
        <v>21133.503448275867</v>
      </c>
      <c r="F22" s="15">
        <f>ROUND(2*E22,0)/2-3</f>
        <v>21130.5</v>
      </c>
      <c r="G22" s="14">
        <f>+C22-(C$7+F22*C$8)</f>
        <v>2.395250000001397</v>
      </c>
      <c r="I22">
        <f>+G22</f>
        <v>2.395250000001397</v>
      </c>
      <c r="O22">
        <f ca="1">+C$11+C$12*$F22</f>
        <v>2.3956833744289003</v>
      </c>
      <c r="Q22" s="2">
        <f>+C22-15018.5</f>
        <v>38525.868000000002</v>
      </c>
    </row>
    <row r="23" spans="1:17" x14ac:dyDescent="0.2">
      <c r="A23" s="10" t="s">
        <v>35</v>
      </c>
      <c r="B23" s="3" t="s">
        <v>36</v>
      </c>
      <c r="C23" s="12">
        <v>53114.449000000001</v>
      </c>
      <c r="D23" s="12">
        <v>1E-3</v>
      </c>
      <c r="E23" s="14">
        <f>+(C23-C$7)/C$8</f>
        <v>20594.420062695928</v>
      </c>
      <c r="F23" s="15">
        <f>ROUND(2*E23,0)/2-3</f>
        <v>20591.5</v>
      </c>
      <c r="G23" s="14">
        <f>+C23-(C$7+F23*C$8)</f>
        <v>2.328750000007858</v>
      </c>
      <c r="I23">
        <f>+G23</f>
        <v>2.328750000007858</v>
      </c>
      <c r="O23">
        <f ca="1">+C$11+C$12*$F23</f>
        <v>2.3345662638418125</v>
      </c>
      <c r="Q23" s="2">
        <f>+C23-15018.5</f>
        <v>38095.949000000001</v>
      </c>
    </row>
    <row r="24" spans="1:17" x14ac:dyDescent="0.2">
      <c r="A24" s="16" t="s">
        <v>37</v>
      </c>
      <c r="B24" s="12" t="s">
        <v>38</v>
      </c>
      <c r="C24" s="17">
        <v>53974.288</v>
      </c>
      <c r="D24" s="17">
        <v>5.0000000000000001E-3</v>
      </c>
      <c r="E24" s="14">
        <f>+(C24-C$7)/C$8</f>
        <v>21672.5880877743</v>
      </c>
      <c r="F24" s="15">
        <f>ROUND(2*E24,0)/2-3</f>
        <v>21669.5</v>
      </c>
      <c r="G24" s="14">
        <f>+C24-(C$7+F24*C$8)</f>
        <v>2.4627500000060536</v>
      </c>
      <c r="I24">
        <f>+G24</f>
        <v>2.4627500000060536</v>
      </c>
      <c r="O24">
        <f ca="1">+C$11+C$12*$F24</f>
        <v>2.4568004850159881</v>
      </c>
      <c r="Q24" s="2">
        <f>+C24-15018.5</f>
        <v>38955.788</v>
      </c>
    </row>
    <row r="25" spans="1:17" x14ac:dyDescent="0.2">
      <c r="D25" s="3"/>
      <c r="Q25" s="2"/>
    </row>
    <row r="26" spans="1:17" x14ac:dyDescent="0.2">
      <c r="D26" s="3"/>
      <c r="Q26" s="2"/>
    </row>
    <row r="27" spans="1:17" x14ac:dyDescent="0.2">
      <c r="D27" s="3"/>
      <c r="Q27" s="2"/>
    </row>
    <row r="28" spans="1:17" x14ac:dyDescent="0.2">
      <c r="D28" s="3"/>
      <c r="Q28" s="2"/>
    </row>
    <row r="29" spans="1:17" x14ac:dyDescent="0.2">
      <c r="D29" s="3"/>
      <c r="Q29" s="2"/>
    </row>
    <row r="30" spans="1:17" x14ac:dyDescent="0.2">
      <c r="D30" s="3"/>
      <c r="Q30" s="2"/>
    </row>
    <row r="31" spans="1:17" x14ac:dyDescent="0.2">
      <c r="D31" s="3"/>
      <c r="Q31" s="2"/>
    </row>
    <row r="32" spans="1:17" x14ac:dyDescent="0.2">
      <c r="D32" s="3"/>
      <c r="Q32" s="2"/>
    </row>
    <row r="33" spans="4:17" x14ac:dyDescent="0.2">
      <c r="D33" s="3"/>
      <c r="Q33" s="2"/>
    </row>
    <row r="34" spans="4:17" x14ac:dyDescent="0.2">
      <c r="D34" s="3"/>
    </row>
    <row r="35" spans="4:17" x14ac:dyDescent="0.2">
      <c r="D35" s="3"/>
    </row>
    <row r="36" spans="4:17" x14ac:dyDescent="0.2">
      <c r="D36" s="3"/>
    </row>
    <row r="37" spans="4:17" x14ac:dyDescent="0.2">
      <c r="D37" s="3"/>
    </row>
    <row r="38" spans="4:17" x14ac:dyDescent="0.2">
      <c r="D38" s="3"/>
    </row>
    <row r="39" spans="4:17" x14ac:dyDescent="0.2">
      <c r="D39" s="3"/>
    </row>
    <row r="40" spans="4:17" x14ac:dyDescent="0.2">
      <c r="D40" s="3"/>
    </row>
    <row r="41" spans="4:17" x14ac:dyDescent="0.2">
      <c r="D41" s="3"/>
    </row>
    <row r="42" spans="4:17" x14ac:dyDescent="0.2">
      <c r="D42" s="3"/>
    </row>
    <row r="43" spans="4:17" x14ac:dyDescent="0.2">
      <c r="D43" s="3"/>
    </row>
    <row r="44" spans="4:17" x14ac:dyDescent="0.2">
      <c r="D44" s="3"/>
    </row>
    <row r="45" spans="4:17" x14ac:dyDescent="0.2">
      <c r="D45" s="3"/>
    </row>
    <row r="46" spans="4:17" x14ac:dyDescent="0.2">
      <c r="D46" s="3"/>
    </row>
    <row r="47" spans="4:17" x14ac:dyDescent="0.2">
      <c r="D47" s="3"/>
    </row>
    <row r="48" spans="4:17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  <row r="52" spans="4:4" x14ac:dyDescent="0.2">
      <c r="D52" s="3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2024-07-29T08:05:20Z</dcterms:modified>
</cp:coreProperties>
</file>