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18ED5D-B01E-4483-9DF2-6E6B0D4AE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" sheetId="2" r:id="rId2"/>
  </sheets>
  <calcPr calcId="181029"/>
</workbook>
</file>

<file path=xl/calcChain.xml><?xml version="1.0" encoding="utf-8"?>
<calcChain xmlns="http://schemas.openxmlformats.org/spreadsheetml/2006/main">
  <c r="F14" i="1" l="1"/>
  <c r="E23" i="2"/>
  <c r="F23" i="2"/>
  <c r="G23" i="2"/>
  <c r="I23" i="2"/>
  <c r="E22" i="2"/>
  <c r="F22" i="2"/>
  <c r="G22" i="2"/>
  <c r="I22" i="2"/>
  <c r="E24" i="2"/>
  <c r="F24" i="2"/>
  <c r="G24" i="2"/>
  <c r="J24" i="2"/>
  <c r="F11" i="2"/>
  <c r="E21" i="2"/>
  <c r="F21" i="2"/>
  <c r="G21" i="2"/>
  <c r="G11" i="2"/>
  <c r="E15" i="2"/>
  <c r="C17" i="2"/>
  <c r="Q21" i="2"/>
  <c r="Q23" i="2"/>
  <c r="Q22" i="2"/>
  <c r="Q24" i="2"/>
  <c r="F11" i="1"/>
  <c r="Q24" i="1"/>
  <c r="G11" i="1"/>
  <c r="C17" i="1"/>
  <c r="E22" i="1"/>
  <c r="F22" i="1"/>
  <c r="G22" i="1" s="1"/>
  <c r="I22" i="1" s="1"/>
  <c r="Q22" i="1"/>
  <c r="E23" i="1"/>
  <c r="F23" i="1" s="1"/>
  <c r="G23" i="1" s="1"/>
  <c r="I23" i="1" s="1"/>
  <c r="Q23" i="1"/>
  <c r="C7" i="1"/>
  <c r="E21" i="1"/>
  <c r="F21" i="1" s="1"/>
  <c r="G21" i="1" s="1"/>
  <c r="Q21" i="1"/>
  <c r="E24" i="1"/>
  <c r="F24" i="1" s="1"/>
  <c r="G24" i="1" s="1"/>
  <c r="J24" i="1" s="1"/>
  <c r="C11" i="1"/>
  <c r="C12" i="2"/>
  <c r="F15" i="1" l="1"/>
  <c r="C16" i="2"/>
  <c r="D18" i="2" s="1"/>
  <c r="C11" i="2"/>
  <c r="C12" i="1"/>
  <c r="C15" i="1" l="1"/>
  <c r="C18" i="1" s="1"/>
  <c r="O21" i="1"/>
  <c r="O24" i="1"/>
  <c r="C16" i="1"/>
  <c r="D18" i="1" s="1"/>
  <c r="O22" i="1"/>
  <c r="O23" i="1"/>
  <c r="O21" i="2"/>
  <c r="O23" i="2"/>
  <c r="O22" i="2"/>
  <c r="C15" i="2"/>
  <c r="O24" i="2"/>
  <c r="F16" i="1" l="1"/>
  <c r="F18" i="1" s="1"/>
  <c r="C18" i="2"/>
  <c r="E16" i="2"/>
  <c r="E17" i="2" s="1"/>
  <c r="F17" i="1" l="1"/>
</calcChain>
</file>

<file path=xl/sharedStrings.xml><?xml version="1.0" encoding="utf-8"?>
<sst xmlns="http://schemas.openxmlformats.org/spreadsheetml/2006/main" count="104" uniqueCount="55">
  <si>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</si>
  <si>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</si>
  <si>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</si>
  <si>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</si>
  <si>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</si>
  <si>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</si>
  <si>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</si>
  <si>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</si>
  <si>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</si>
  <si>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</si>
  <si>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</si>
  <si>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</si>
  <si>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</si>
  <si>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</si>
  <si>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</si>
  <si>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</si>
  <si>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</si>
  <si>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</si>
  <si>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</si>
  <si>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</si>
  <si>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</si>
  <si>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</si>
  <si>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</si>
  <si>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</si>
  <si>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</si>
  <si>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</si>
  <si>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</si>
  <si>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</si>
  <si>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</si>
  <si>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</si>
  <si>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</si>
  <si>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BH Aps / GSC 9442-1218</t>
  </si>
  <si>
    <t>EA</t>
  </si>
  <si>
    <t>IBVS 5731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</si>
  <si>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</si>
  <si>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</si>
  <si>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</si>
  <si>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</si>
  <si>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</si>
  <si>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</si>
  <si>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</si>
  <si>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</si>
  <si>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</si>
  <si>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0155</t>
  </si>
  <si>
    <t>0,0000</t>
  </si>
  <si>
    <t>OEJV</t>
  </si>
  <si>
    <t xml:space="preserve">Mag </t>
  </si>
  <si>
    <t>Add cycle</t>
  </si>
  <si>
    <t>Old Cycle</t>
  </si>
  <si>
    <t>Next ToM-P</t>
  </si>
  <si>
    <t>Next ToM-S</t>
  </si>
  <si>
    <t>VSX</t>
  </si>
  <si>
    <t>11.30-13.50</t>
  </si>
  <si>
    <t>CCD</t>
  </si>
  <si>
    <t>EA/SD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</si>
</sst>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/>
    <xf numFmtId="0" fontId="0" fillId="0" borderId="6" xfId="0" applyBorder="1" applyAlignment="1"/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1" xfId="0" applyFont="1" applyBorder="1" applyAlignment="1"/>
    <xf numFmtId="0" fontId="0" fillId="3" borderId="7" xfId="0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7" fillId="0" borderId="10" xfId="0" applyFont="1" applyBorder="1" applyAlignment="1"/>
    <xf numFmtId="0" fontId="16" fillId="0" borderId="10" xfId="0" applyFont="1" applyBorder="1" applyAlignment="1"/>
    <xf numFmtId="22" fontId="15" fillId="0" borderId="9" xfId="0" applyNumberFormat="1" applyFont="1" applyBorder="1" applyAlignment="1">
      <alignment horizontal="right" vertical="center"/>
    </xf>
    <xf numFmtId="0" fontId="16" fillId="0" borderId="11" xfId="0" applyFont="1" applyBorder="1" applyAlignment="1"/>
    <xf numFmtId="0" fontId="15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Aps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1673149479653"/>
          <c:y val="0.14678942920199375"/>
          <c:w val="0.83844977285832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8-45DF-8FE2-2380E7C2FF0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-5.4810819999984233</c:v>
                </c:pt>
                <c:pt idx="2">
                  <c:v>-5.4808179999963613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8-45DF-8FE2-2380E7C2FF0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3">
                  <c:v>-7.299723999996786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8-45DF-8FE2-2380E7C2FF0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8-45DF-8FE2-2380E7C2FF0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8-45DF-8FE2-2380E7C2FF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C8-45DF-8FE2-2380E7C2FF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C8-45DF-8FE2-2380E7C2FF0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4513.5</c:v>
                </c:pt>
                <c:pt idx="2">
                  <c:v>4711.5</c:v>
                </c:pt>
                <c:pt idx="3">
                  <c:v>5307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8.3710302718969842E-2</c:v>
                </c:pt>
                <c:pt idx="1">
                  <c:v>-5.6921736588314173</c:v>
                </c:pt>
                <c:pt idx="2">
                  <c:v>-5.9455524168655325</c:v>
                </c:pt>
                <c:pt idx="3">
                  <c:v>-6.7076082270135897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C8-45DF-8FE2-2380E7C2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22576"/>
        <c:axId val="1"/>
      </c:scatterChart>
      <c:valAx>
        <c:axId val="45242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42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Aps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1293039186376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FA-42A2-8AFE-B0BC7D6AADE4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1">
                  <c:v>-2.6706404896685854E-3</c:v>
                </c:pt>
                <c:pt idx="2">
                  <c:v>-2.3341302076005377E-3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FA-42A2-8AFE-B0BC7D6AADE4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  <c:pt idx="3">
                  <c:v>4.3437668718979694E-3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FA-42A2-8AFE-B0BC7D6AADE4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FA-42A2-8AFE-B0BC7D6AADE4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FA-42A2-8AFE-B0BC7D6AADE4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FA-42A2-8AFE-B0BC7D6AADE4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FA-42A2-8AFE-B0BC7D6AADE4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-5305</c:v>
                </c:pt>
                <c:pt idx="1">
                  <c:v>-793</c:v>
                </c:pt>
                <c:pt idx="2">
                  <c:v>-595</c:v>
                </c:pt>
                <c:pt idx="3">
                  <c:v>0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1.0813598004462853E-11</c:v>
                </c:pt>
                <c:pt idx="1">
                  <c:v>6.4185175498773844E-12</c:v>
                </c:pt>
                <c:pt idx="2">
                  <c:v>6.2256483278011608E-12</c:v>
                </c:pt>
                <c:pt idx="3">
                  <c:v>5.6460665745923054E-12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FA-42A2-8AFE-B0BC7D6A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886816"/>
        <c:axId val="1"/>
      </c:scatterChart>
      <c:valAx>
        <c:axId val="459886816"/>
        <c:scaling>
          <c:orientation val="minMax"/>
          <c:max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88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24572695779749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85725</xdr:rowOff>
    </xdr:from>
    <xdr:to>
      <xdr:col>17</xdr:col>
      <xdr:colOff>95250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3A71AF3-2D03-5F1C-212D-EABC81EEE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0</xdr:row>
      <xdr:rowOff>85725</xdr:rowOff>
    </xdr:from>
    <xdr:to>
      <xdr:col>17</xdr:col>
      <xdr:colOff>133350</xdr:colOff>
      <xdr:row>18</xdr:row>
      <xdr:rowOff>123825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4AB61AB-65CB-DD9B-3D37-13399E4B8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s="37" t="s">
        <v>54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36728.434999999998</v>
      </c>
      <c r="D4" s="9">
        <v>3.6520000000000001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36728.434999999998</v>
      </c>
      <c r="D7" s="37" t="s">
        <v>51</v>
      </c>
    </row>
    <row r="8" spans="1:7" x14ac:dyDescent="0.2">
      <c r="A8" t="s">
        <v>3</v>
      </c>
      <c r="C8">
        <v>3.6507320000000001</v>
      </c>
      <c r="D8" s="37" t="s">
        <v>51</v>
      </c>
    </row>
    <row r="9" spans="1:7" x14ac:dyDescent="0.2">
      <c r="A9" s="16" t="s">
        <v>36</v>
      </c>
      <c r="B9" s="10"/>
      <c r="C9" s="17">
        <v>-9.5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18">
        <f ca="1">INTERCEPT(INDIRECT($G$11):G992,INDIRECT($F$11):F992)</f>
        <v>8.3710302718969842E-2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17</v>
      </c>
      <c r="B12" s="10"/>
      <c r="C12" s="18">
        <f ca="1">SLOPE(INDIRECT($G$11):G992,INDIRECT($F$11):F992)</f>
        <v>-1.2796906971419934E-3</v>
      </c>
      <c r="D12" s="3"/>
      <c r="E12" s="39" t="s">
        <v>46</v>
      </c>
      <c r="F12" s="40" t="s">
        <v>52</v>
      </c>
    </row>
    <row r="13" spans="1:7" x14ac:dyDescent="0.2">
      <c r="A13" s="10" t="s">
        <v>19</v>
      </c>
      <c r="B13" s="10"/>
      <c r="C13" s="3" t="s">
        <v>14</v>
      </c>
      <c r="D13" s="3"/>
      <c r="E13" s="41" t="s">
        <v>47</v>
      </c>
      <c r="F13" s="42">
        <v>1</v>
      </c>
    </row>
    <row r="14" spans="1:7" x14ac:dyDescent="0.2">
      <c r="A14" s="10"/>
      <c r="B14" s="10"/>
      <c r="C14" s="10"/>
      <c r="D14" s="10"/>
      <c r="E14" s="41" t="s">
        <v>38</v>
      </c>
      <c r="F14" s="43">
        <f ca="1">NOW()+15018.5+$C$9/24</f>
        <v>60520.838119560183</v>
      </c>
    </row>
    <row r="15" spans="1:7" x14ac:dyDescent="0.2">
      <c r="A15" s="21" t="s">
        <v>18</v>
      </c>
      <c r="B15" s="10"/>
      <c r="C15" s="22">
        <f ca="1">(C7+C11)+(C8+C12)*INT(MAX(F21:F3533))</f>
        <v>56096.16211577299</v>
      </c>
      <c r="D15" s="23"/>
      <c r="E15" s="41" t="s">
        <v>48</v>
      </c>
      <c r="F15" s="43">
        <f ca="1">ROUND(2*($F$14-$C$7)/$C$8,0)/2+$F$13</f>
        <v>6518</v>
      </c>
    </row>
    <row r="16" spans="1:7" x14ac:dyDescent="0.2">
      <c r="A16" s="25" t="s">
        <v>4</v>
      </c>
      <c r="B16" s="10"/>
      <c r="C16" s="26">
        <f ca="1">+C8+C12</f>
        <v>3.6494523093028581</v>
      </c>
      <c r="D16" s="23"/>
      <c r="E16" s="41" t="s">
        <v>39</v>
      </c>
      <c r="F16" s="43">
        <f ca="1">ROUND(2*($F$14-$C$15)/$C$16,0)/2+$F$13</f>
        <v>1213.5</v>
      </c>
    </row>
    <row r="17" spans="1:17" ht="13.5" thickBot="1" x14ac:dyDescent="0.25">
      <c r="A17" s="23" t="s">
        <v>30</v>
      </c>
      <c r="B17" s="10"/>
      <c r="C17" s="10">
        <f>COUNT(C21:C2191)</f>
        <v>4</v>
      </c>
      <c r="D17" s="23"/>
      <c r="E17" s="44" t="s">
        <v>49</v>
      </c>
      <c r="F17" s="43">
        <f ca="1">+$C$15+$C$16*$F$16-15018.5-$C$9/24</f>
        <v>45506.668326445346</v>
      </c>
    </row>
    <row r="18" spans="1:17" ht="14.25" thickTop="1" thickBot="1" x14ac:dyDescent="0.25">
      <c r="A18" s="25" t="s">
        <v>5</v>
      </c>
      <c r="B18" s="10"/>
      <c r="C18" s="28">
        <f ca="1">+C15</f>
        <v>56096.16211577299</v>
      </c>
      <c r="D18" s="29">
        <f ca="1">+C16</f>
        <v>3.6494523093028581</v>
      </c>
      <c r="E18" s="46" t="s">
        <v>50</v>
      </c>
      <c r="F18" s="45">
        <f ca="1">+($C$15+$C$16*$F$16)-($C$16/2)-15018.5-$C$9/24</f>
        <v>45504.843600290696</v>
      </c>
    </row>
    <row r="19" spans="1:17" ht="13.5" thickTop="1" x14ac:dyDescent="0.2">
      <c r="A19" s="31" t="s">
        <v>42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2">
        <v>36728.434999999998</v>
      </c>
      <c r="D21" s="12" t="s">
        <v>14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H21" s="15">
        <v>0</v>
      </c>
      <c r="O21">
        <f ca="1">+C$11+C$12*$F21</f>
        <v>8.3710302718969842E-2</v>
      </c>
      <c r="Q21" s="2">
        <f>+C21-15018.5</f>
        <v>21709.934999999998</v>
      </c>
    </row>
    <row r="22" spans="1:17" x14ac:dyDescent="0.2">
      <c r="A22" s="10" t="s">
        <v>34</v>
      </c>
      <c r="B22" s="3" t="s">
        <v>35</v>
      </c>
      <c r="C22" s="12">
        <v>53200.532800000001</v>
      </c>
      <c r="D22" s="12">
        <v>1.5E-3</v>
      </c>
      <c r="E22" s="13">
        <f>+(C22-C$7)/C$8</f>
        <v>4511.9986347943377</v>
      </c>
      <c r="F22" s="14">
        <f>ROUND(2*E22,0)/2+1.5</f>
        <v>4513.5</v>
      </c>
      <c r="G22" s="13">
        <f>+C22-(C$7+F22*C$8)</f>
        <v>-5.4810819999984233</v>
      </c>
      <c r="H22" s="13"/>
      <c r="I22">
        <f>+G22</f>
        <v>-5.4810819999984233</v>
      </c>
      <c r="O22">
        <f ca="1">+C$11+C$12*$F22</f>
        <v>-5.6921736588314173</v>
      </c>
      <c r="Q22" s="2">
        <f>+C22-15018.5</f>
        <v>38182.032800000001</v>
      </c>
    </row>
    <row r="23" spans="1:17" x14ac:dyDescent="0.2">
      <c r="A23" s="10" t="s">
        <v>33</v>
      </c>
      <c r="B23" s="11"/>
      <c r="C23" s="12">
        <v>53923.377999999997</v>
      </c>
      <c r="D23" s="12">
        <v>2E-3</v>
      </c>
      <c r="E23" s="13">
        <f>+(C23-C$7)/C$8</f>
        <v>4709.9987071086016</v>
      </c>
      <c r="F23" s="14">
        <f>ROUND(2*E23,0)/2+1.5</f>
        <v>4711.5</v>
      </c>
      <c r="G23" s="13">
        <f>+C23-(C$7+F23*C$8)</f>
        <v>-5.4808179999963613</v>
      </c>
      <c r="H23" s="13"/>
      <c r="I23">
        <f>+G23</f>
        <v>-5.4808179999963613</v>
      </c>
      <c r="O23">
        <f ca="1">+C$11+C$12*$F23</f>
        <v>-5.9455524168655325</v>
      </c>
      <c r="Q23" s="2">
        <f>+C23-15018.5</f>
        <v>38904.877999999997</v>
      </c>
    </row>
    <row r="24" spans="1:17" x14ac:dyDescent="0.2">
      <c r="A24" s="33" t="s">
        <v>43</v>
      </c>
      <c r="B24" s="34" t="s">
        <v>35</v>
      </c>
      <c r="C24" s="35">
        <v>56095.57</v>
      </c>
      <c r="D24" s="36" t="s">
        <v>44</v>
      </c>
      <c r="E24" s="13">
        <f>+(C24-C$7)/C$8</f>
        <v>5305.0004766167449</v>
      </c>
      <c r="F24" s="38">
        <f>ROUND(2*E24,0)/2+2</f>
        <v>5307</v>
      </c>
      <c r="G24" s="13">
        <f>+C24-(C$7+F24*C$8)</f>
        <v>-7.299723999996786</v>
      </c>
      <c r="H24" s="13"/>
      <c r="J24">
        <f>+G24</f>
        <v>-7.299723999996786</v>
      </c>
      <c r="O24">
        <f ca="1">+C$11+C$12*$F24</f>
        <v>-6.7076082270135897</v>
      </c>
      <c r="Q24" s="2">
        <f>+C24-15018.5</f>
        <v>41077.07</v>
      </c>
    </row>
    <row r="25" spans="1:17" x14ac:dyDescent="0.2">
      <c r="C25" s="12"/>
      <c r="D25" s="12"/>
      <c r="E25" s="13"/>
      <c r="F25" s="13"/>
      <c r="G25" s="13"/>
      <c r="H25" s="13"/>
      <c r="Q25" s="2"/>
    </row>
    <row r="26" spans="1:17" x14ac:dyDescent="0.2">
      <c r="C26" s="12"/>
      <c r="D26" s="12"/>
      <c r="E26" s="13"/>
      <c r="F26" s="13"/>
      <c r="G26" s="13"/>
      <c r="H26" s="13"/>
      <c r="Q26" s="2"/>
    </row>
    <row r="27" spans="1:17" x14ac:dyDescent="0.2">
      <c r="C27" s="12"/>
      <c r="D27" s="12"/>
      <c r="Q27" s="2"/>
    </row>
    <row r="28" spans="1:17" x14ac:dyDescent="0.2">
      <c r="C28" s="12"/>
      <c r="D28" s="12"/>
      <c r="Q28" s="2"/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C32" s="12"/>
      <c r="D32" s="12"/>
      <c r="Q32" s="2"/>
    </row>
    <row r="33" spans="3:17" x14ac:dyDescent="0.2">
      <c r="C33" s="12"/>
      <c r="D33" s="12"/>
      <c r="Q33" s="2"/>
    </row>
    <row r="34" spans="3:17" x14ac:dyDescent="0.2">
      <c r="C34" s="12"/>
      <c r="D34" s="12"/>
    </row>
    <row r="35" spans="3:17" x14ac:dyDescent="0.2">
      <c r="C35" s="12"/>
      <c r="D35" s="12"/>
    </row>
    <row r="36" spans="3:17" x14ac:dyDescent="0.2">
      <c r="C36" s="12"/>
      <c r="D36" s="12"/>
    </row>
    <row r="37" spans="3:17" x14ac:dyDescent="0.2">
      <c r="C37" s="12"/>
      <c r="D37" s="12"/>
    </row>
    <row r="38" spans="3:17" x14ac:dyDescent="0.2">
      <c r="C38" s="12"/>
      <c r="D38" s="12"/>
    </row>
    <row r="39" spans="3:17" x14ac:dyDescent="0.2">
      <c r="C39" s="12"/>
      <c r="D39" s="12"/>
    </row>
    <row r="40" spans="3:17" x14ac:dyDescent="0.2">
      <c r="C40" s="12"/>
      <c r="D40" s="12"/>
    </row>
    <row r="41" spans="3:17" x14ac:dyDescent="0.2">
      <c r="C41" s="12"/>
      <c r="D41" s="12"/>
    </row>
    <row r="42" spans="3:17" x14ac:dyDescent="0.2">
      <c r="C42" s="12"/>
      <c r="D42" s="12"/>
    </row>
    <row r="43" spans="3:17" x14ac:dyDescent="0.2">
      <c r="C43" s="12"/>
      <c r="D43" s="12"/>
    </row>
    <row r="44" spans="3:17" x14ac:dyDescent="0.2">
      <c r="C44" s="12"/>
      <c r="D44" s="12"/>
    </row>
    <row r="45" spans="3:17" x14ac:dyDescent="0.2">
      <c r="C45" s="12"/>
      <c r="D45" s="12"/>
    </row>
    <row r="46" spans="3:17" x14ac:dyDescent="0.2">
      <c r="C46" s="12"/>
      <c r="D46" s="12"/>
    </row>
    <row r="47" spans="3:17" x14ac:dyDescent="0.2">
      <c r="C47" s="12"/>
      <c r="D47" s="12"/>
    </row>
    <row r="48" spans="3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workbookViewId="0">
      <selection activeCell="G33" sqref="G3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t="s">
        <v>32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36728.434999999998</v>
      </c>
      <c r="D4" s="9">
        <v>3.6520000000000001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56095.565656233128</v>
      </c>
    </row>
    <row r="8" spans="1:7" x14ac:dyDescent="0.2">
      <c r="A8" t="s">
        <v>3</v>
      </c>
      <c r="C8">
        <v>3.6507316337864242</v>
      </c>
    </row>
    <row r="9" spans="1:7" x14ac:dyDescent="0.2">
      <c r="A9" s="16" t="s">
        <v>36</v>
      </c>
      <c r="B9" s="10"/>
      <c r="C9" s="17">
        <v>8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18">
        <f ca="1">INTERCEPT(INDIRECT($G$11):G992,INDIRECT($F$11):F992)</f>
        <v>5.6460665745923054E-12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17</v>
      </c>
      <c r="B12" s="10"/>
      <c r="C12" s="18">
        <f ca="1">SLOPE(INDIRECT($G$11):G992,INDIRECT($F$11):F992)</f>
        <v>-9.7408698018294963E-16</v>
      </c>
      <c r="D12" s="3"/>
      <c r="E12" s="10"/>
    </row>
    <row r="13" spans="1:7" x14ac:dyDescent="0.2">
      <c r="A13" s="10" t="s">
        <v>19</v>
      </c>
      <c r="B13" s="10"/>
      <c r="C13" s="3" t="s">
        <v>14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1" t="s">
        <v>18</v>
      </c>
      <c r="B15" s="10"/>
      <c r="C15" s="22">
        <f ca="1">(C7+C11)+(C8+C12)*INT(MAX(F21:F3533))</f>
        <v>56095.565656233135</v>
      </c>
      <c r="D15" s="23" t="s">
        <v>38</v>
      </c>
      <c r="E15" s="24">
        <f ca="1">TODAY()+15018.5-B9/24</f>
        <v>60520.5</v>
      </c>
    </row>
    <row r="16" spans="1:7" x14ac:dyDescent="0.2">
      <c r="A16" s="25" t="s">
        <v>4</v>
      </c>
      <c r="B16" s="10"/>
      <c r="C16" s="26">
        <f ca="1">+C8+C12</f>
        <v>3.6507316337864233</v>
      </c>
      <c r="D16" s="23" t="s">
        <v>39</v>
      </c>
      <c r="E16" s="24">
        <f ca="1">ROUND(2*(E15-C15)/C16,0)/2+1</f>
        <v>1213</v>
      </c>
    </row>
    <row r="17" spans="1:17" ht="13.5" thickBot="1" x14ac:dyDescent="0.25">
      <c r="A17" s="23" t="s">
        <v>30</v>
      </c>
      <c r="B17" s="10"/>
      <c r="C17" s="10">
        <f>COUNT(C21:C2191)</f>
        <v>4</v>
      </c>
      <c r="D17" s="23" t="s">
        <v>40</v>
      </c>
      <c r="E17" s="27">
        <f ca="1">+C15+C16*E16-15018.5-C9/24</f>
        <v>45505.069794682728</v>
      </c>
    </row>
    <row r="18" spans="1:17" ht="14.25" thickTop="1" thickBot="1" x14ac:dyDescent="0.25">
      <c r="A18" s="25" t="s">
        <v>5</v>
      </c>
      <c r="B18" s="10"/>
      <c r="C18" s="28">
        <f ca="1">+C15</f>
        <v>56095.565656233135</v>
      </c>
      <c r="D18" s="29">
        <f ca="1">+C16</f>
        <v>3.6507316337864233</v>
      </c>
      <c r="E18" s="30" t="s">
        <v>41</v>
      </c>
    </row>
    <row r="19" spans="1:17" ht="13.5" thickTop="1" x14ac:dyDescent="0.2">
      <c r="A19" s="31" t="s">
        <v>42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>
        <v>36728.434999999998</v>
      </c>
      <c r="D21" s="3" t="s">
        <v>14</v>
      </c>
      <c r="E21" s="15">
        <f>+(C21-C$7)/C$8</f>
        <v>-5304.9998189393482</v>
      </c>
      <c r="F21" s="15">
        <f>ROUND(2*E21,0)/2</f>
        <v>-5305</v>
      </c>
      <c r="G21" s="15">
        <f>+C21-(C$7+F21*C$8)</f>
        <v>6.6100385447498411E-4</v>
      </c>
      <c r="H21" s="15">
        <v>0</v>
      </c>
      <c r="O21">
        <f ca="1">+C$11+C$12*$F21</f>
        <v>1.0813598004462853E-11</v>
      </c>
      <c r="Q21" s="2">
        <f>+C21-15018.5</f>
        <v>21709.934999999998</v>
      </c>
    </row>
    <row r="22" spans="1:17" x14ac:dyDescent="0.2">
      <c r="A22" s="10" t="s">
        <v>34</v>
      </c>
      <c r="B22" s="3" t="s">
        <v>35</v>
      </c>
      <c r="C22" s="12">
        <v>53200.532800000001</v>
      </c>
      <c r="D22" s="12">
        <v>1.5E-3</v>
      </c>
      <c r="E22" s="13">
        <f>+(C22-C$7)/C$8</f>
        <v>-793.00073153569213</v>
      </c>
      <c r="F22" s="15">
        <f>ROUND(2*E22,0)/2</f>
        <v>-793</v>
      </c>
      <c r="G22" s="13">
        <f>+C22-(C$7+F22*C$8)</f>
        <v>-2.6706404896685854E-3</v>
      </c>
      <c r="H22" s="13"/>
      <c r="I22">
        <f>+G22</f>
        <v>-2.6706404896685854E-3</v>
      </c>
      <c r="O22">
        <f ca="1">+C$11+C$12*$F22</f>
        <v>6.4185175498773844E-12</v>
      </c>
      <c r="Q22" s="2">
        <f>+C22-15018.5</f>
        <v>38182.032800000001</v>
      </c>
    </row>
    <row r="23" spans="1:17" x14ac:dyDescent="0.2">
      <c r="A23" s="10" t="s">
        <v>33</v>
      </c>
      <c r="B23" s="11"/>
      <c r="C23" s="12">
        <v>53923.377999999997</v>
      </c>
      <c r="D23" s="12">
        <v>2E-3</v>
      </c>
      <c r="E23" s="13">
        <f>+(C23-C$7)/C$8</f>
        <v>-595.00063935957019</v>
      </c>
      <c r="F23" s="15">
        <f>ROUND(2*E23,0)/2</f>
        <v>-595</v>
      </c>
      <c r="G23" s="13">
        <f>+C23-(C$7+F23*C$8)</f>
        <v>-2.3341302076005377E-3</v>
      </c>
      <c r="H23" s="13"/>
      <c r="I23">
        <f>+G23</f>
        <v>-2.3341302076005377E-3</v>
      </c>
      <c r="O23">
        <f ca="1">+C$11+C$12*$F23</f>
        <v>6.2256483278011608E-12</v>
      </c>
      <c r="Q23" s="2">
        <f>+C23-15018.5</f>
        <v>38904.877999999997</v>
      </c>
    </row>
    <row r="24" spans="1:17" x14ac:dyDescent="0.2">
      <c r="A24" s="33" t="s">
        <v>43</v>
      </c>
      <c r="B24" s="34" t="s">
        <v>35</v>
      </c>
      <c r="C24" s="35">
        <v>56095.57</v>
      </c>
      <c r="D24" s="33" t="s">
        <v>44</v>
      </c>
      <c r="E24" s="13">
        <f>+(C24-C$7)/C$8</f>
        <v>1.1898346160801611E-3</v>
      </c>
      <c r="F24" s="15">
        <f>ROUND(2*E24,0)/2</f>
        <v>0</v>
      </c>
      <c r="G24" s="13">
        <f>+C24-(C$7+F24*C$8)</f>
        <v>4.3437668718979694E-3</v>
      </c>
      <c r="H24" s="13"/>
      <c r="J24">
        <f>+G24</f>
        <v>4.3437668718979694E-3</v>
      </c>
      <c r="O24">
        <f ca="1">+C$11+C$12*$F24</f>
        <v>5.6460665745923054E-12</v>
      </c>
      <c r="Q24" s="2">
        <f>+C24-15018.5</f>
        <v>41077.07</v>
      </c>
    </row>
    <row r="25" spans="1:17" x14ac:dyDescent="0.2">
      <c r="D25" s="3"/>
      <c r="E25" s="13"/>
      <c r="F25" s="13"/>
      <c r="G25" s="13"/>
      <c r="H25" s="13"/>
      <c r="Q25" s="2"/>
    </row>
    <row r="26" spans="1:17" x14ac:dyDescent="0.2">
      <c r="D26" s="3"/>
      <c r="E26" s="13"/>
      <c r="F26" s="13"/>
      <c r="G26" s="13"/>
      <c r="H26" s="13"/>
      <c r="Q26" s="2"/>
    </row>
    <row r="27" spans="1:17" x14ac:dyDescent="0.2">
      <c r="D27" s="3"/>
      <c r="Q27" s="2"/>
    </row>
    <row r="28" spans="1:17" x14ac:dyDescent="0.2">
      <c r="D28" s="3"/>
      <c r="Q28" s="2"/>
    </row>
    <row r="29" spans="1:17" x14ac:dyDescent="0.2">
      <c r="D29" s="3"/>
      <c r="Q29" s="2"/>
    </row>
    <row r="30" spans="1:17" x14ac:dyDescent="0.2">
      <c r="D30" s="3"/>
      <c r="Q30" s="2"/>
    </row>
    <row r="31" spans="1:17" x14ac:dyDescent="0.2">
      <c r="D31" s="3"/>
      <c r="Q31" s="2"/>
    </row>
    <row r="32" spans="1:17" x14ac:dyDescent="0.2">
      <c r="D32" s="3"/>
      <c r="Q32" s="2"/>
    </row>
    <row r="33" spans="4:17" x14ac:dyDescent="0.2">
      <c r="D33" s="3"/>
      <c r="Q33" s="2"/>
    </row>
    <row r="34" spans="4:17" x14ac:dyDescent="0.2">
      <c r="D34" s="3"/>
    </row>
    <row r="35" spans="4:17" x14ac:dyDescent="0.2">
      <c r="D35" s="3"/>
    </row>
    <row r="36" spans="4:17" x14ac:dyDescent="0.2">
      <c r="D36" s="3"/>
    </row>
    <row r="37" spans="4:17" x14ac:dyDescent="0.2">
      <c r="D37" s="3"/>
    </row>
    <row r="38" spans="4:17" x14ac:dyDescent="0.2">
      <c r="D38" s="3"/>
    </row>
    <row r="39" spans="4:17" x14ac:dyDescent="0.2">
      <c r="D39" s="3"/>
    </row>
    <row r="40" spans="4:17" x14ac:dyDescent="0.2">
      <c r="D40" s="3"/>
    </row>
    <row r="41" spans="4:17" x14ac:dyDescent="0.2">
      <c r="D41" s="3"/>
    </row>
    <row r="42" spans="4:17" x14ac:dyDescent="0.2">
      <c r="D42" s="3"/>
    </row>
    <row r="43" spans="4:17" x14ac:dyDescent="0.2">
      <c r="D43" s="3"/>
    </row>
    <row r="44" spans="4:17" x14ac:dyDescent="0.2">
      <c r="D44" s="3"/>
    </row>
    <row r="45" spans="4:17" x14ac:dyDescent="0.2">
      <c r="D45" s="3"/>
    </row>
    <row r="46" spans="4:17" x14ac:dyDescent="0.2">
      <c r="D46" s="3"/>
    </row>
    <row r="47" spans="4:17" x14ac:dyDescent="0.2">
      <c r="D47" s="3"/>
    </row>
    <row r="48" spans="4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2024-07-29T08:06:53Z</dcterms:modified>
</cp:coreProperties>
</file>