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FA8B3F7-128F-4C72-B2F8-99CFBAEE74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E24" i="1"/>
  <c r="F24" i="1" s="1"/>
  <c r="G24" i="1" s="1"/>
  <c r="I24" i="1" s="1"/>
  <c r="E22" i="1"/>
  <c r="F22" i="1" s="1"/>
  <c r="G22" i="1" s="1"/>
  <c r="I22" i="1" s="1"/>
  <c r="Q23" i="1"/>
  <c r="Q24" i="1"/>
  <c r="Q22" i="1"/>
  <c r="G11" i="1"/>
  <c r="F11" i="1"/>
  <c r="E21" i="1"/>
  <c r="F21" i="1" s="1"/>
  <c r="G21" i="1" s="1"/>
  <c r="H21" i="1" s="1"/>
  <c r="F14" i="1"/>
  <c r="F15" i="1" s="1"/>
  <c r="C17" i="1"/>
  <c r="Q21" i="1"/>
  <c r="C12" i="1"/>
  <c r="C16" i="1" l="1"/>
  <c r="D18" i="1" s="1"/>
  <c r="C11" i="1"/>
  <c r="O22" i="1" l="1"/>
  <c r="O21" i="1"/>
  <c r="O23" i="1"/>
  <c r="O24" i="1"/>
  <c r="C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<sst xmlns="http://schemas.openxmlformats.org/spreadsheetml/2006/main" count="58" uniqueCount="50">
  <si>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</si>
  <si>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</si>
  <si>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</si>
  <si>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</si>
  <si>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</si>
  <si>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</si>
  <si>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</si>
  <si>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</si>
  <si>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</si>
  <si>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</si>
  <si>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</si>
  <si>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</si>
  <si>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</si>
  <si>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</si>
  <si>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</si>
  <si>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</si>
  <si>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</si>
  <si>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</si>
  <si>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</si>
  <si>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</si>
  <si>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</si>
  <si>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</si>
  <si>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</si>
  <si>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</si>
  <si>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</si>
  <si>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</si>
  <si>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</si>
  <si>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</si>
  <si>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</si>
  <si>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</si>
  <si>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</si>
  <si>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</si>
  <si>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</si>
  <si>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</si>
  <si>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</si>
  <si>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</si>
  <si>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</si>
  <si>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</si>
  <si>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</t>
  </si>
  <si>
    <t>NW Aps / GSC 9436-2163</t>
  </si>
  <si>
    <t>EB</t>
  </si>
  <si>
    <t>VSX</t>
  </si>
  <si>
    <t>OEJV 0130</t>
  </si>
  <si>
    <t>I</t>
  </si>
  <si>
    <t>OEJV 116</t>
  </si>
  <si>
    <t xml:space="preserve">Mag </t>
  </si>
  <si>
    <t>9.08-9.37</t>
  </si>
  <si>
    <t>CCD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</si>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</sst>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right" vertical="center"/>
    </xf>
    <xf numFmtId="0" fontId="12" fillId="0" borderId="8" xfId="0" applyFont="1" applyBorder="1">
      <alignment vertical="top"/>
    </xf>
    <xf numFmtId="0" fontId="9" fillId="0" borderId="8" xfId="0" applyFont="1" applyBorder="1">
      <alignment vertical="top"/>
    </xf>
    <xf numFmtId="0" fontId="8" fillId="0" borderId="8" xfId="0" applyFont="1" applyBorder="1" applyAlignment="1"/>
    <xf numFmtId="22" fontId="8" fillId="0" borderId="8" xfId="0" applyNumberFormat="1" applyFont="1" applyBorder="1">
      <alignment vertical="top"/>
    </xf>
    <xf numFmtId="22" fontId="17" fillId="0" borderId="9" xfId="0" applyNumberFormat="1" applyFont="1" applyBorder="1" applyAlignment="1"/>
    <xf numFmtId="0" fontId="16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NW Aps - O-C Diagr.</a:t>
            </a:r>
          </a:p>
        </c:rich>
      </c:tx>
      <c:layout>
        <c:manualLayout>
          <c:xMode val="edge"/>
          <c:yMode val="edge"/>
          <c:x val="0.38195488721804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6085</c:v>
                </c:pt>
                <c:pt idx="2">
                  <c:v>6085</c:v>
                </c:pt>
                <c:pt idx="3">
                  <c:v>6466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1B-433D-80D7-CC79A9531B6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6085</c:v>
                </c:pt>
                <c:pt idx="2">
                  <c:v>6085</c:v>
                </c:pt>
                <c:pt idx="3">
                  <c:v>6466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-3.3004999997501727E-2</c:v>
                </c:pt>
                <c:pt idx="2">
                  <c:v>8.9950000037788413E-3</c:v>
                </c:pt>
                <c:pt idx="3">
                  <c:v>1.030200000241166E-2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1B-433D-80D7-CC79A9531B6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6085</c:v>
                </c:pt>
                <c:pt idx="2">
                  <c:v>6085</c:v>
                </c:pt>
                <c:pt idx="3">
                  <c:v>6466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1B-433D-80D7-CC79A9531B6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6085</c:v>
                </c:pt>
                <c:pt idx="2">
                  <c:v>6085</c:v>
                </c:pt>
                <c:pt idx="3">
                  <c:v>6466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1B-433D-80D7-CC79A9531B6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6085</c:v>
                </c:pt>
                <c:pt idx="2">
                  <c:v>6085</c:v>
                </c:pt>
                <c:pt idx="3">
                  <c:v>6466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1B-433D-80D7-CC79A9531B6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6085</c:v>
                </c:pt>
                <c:pt idx="2">
                  <c:v>6085</c:v>
                </c:pt>
                <c:pt idx="3">
                  <c:v>6466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1B-433D-80D7-CC79A9531B6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6085</c:v>
                </c:pt>
                <c:pt idx="2">
                  <c:v>6085</c:v>
                </c:pt>
                <c:pt idx="3">
                  <c:v>6466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61B-433D-80D7-CC79A9531B6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6085</c:v>
                </c:pt>
                <c:pt idx="2">
                  <c:v>6085</c:v>
                </c:pt>
                <c:pt idx="3">
                  <c:v>6466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-9.2048324009945089E-4</c:v>
                </c:pt>
                <c:pt idx="1">
                  <c:v>-4.1941802718180694E-3</c:v>
                </c:pt>
                <c:pt idx="2">
                  <c:v>-4.1941802718180694E-3</c:v>
                </c:pt>
                <c:pt idx="3">
                  <c:v>-4.3991562075756359E-3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61B-433D-80D7-CC79A9531B6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6085</c:v>
                </c:pt>
                <c:pt idx="2">
                  <c:v>6085</c:v>
                </c:pt>
                <c:pt idx="3">
                  <c:v>6466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61B-433D-80D7-CC79A9531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7529280"/>
        <c:axId val="1"/>
      </c:scatterChart>
      <c:valAx>
        <c:axId val="647529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7529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D9ACCA0-32CA-EFD3-076D-F3E503EAB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4" sqref="F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28515625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23</v>
      </c>
      <c r="B2" t="s">
        <v>40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</row>
    <row r="7" spans="1:7" x14ac:dyDescent="0.2">
      <c r="A7" t="s">
        <v>2</v>
      </c>
      <c r="C7" s="30">
        <v>48500.648999999998</v>
      </c>
      <c r="D7" s="27" t="s">
        <v>41</v>
      </c>
    </row>
    <row r="8" spans="1:7" x14ac:dyDescent="0.2">
      <c r="A8" t="s">
        <v>3</v>
      </c>
      <c r="C8" s="30">
        <v>1.065553</v>
      </c>
      <c r="D8" s="27" t="s">
        <v>41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-9.2048324009945089E-4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-5.379945820408576E-7</v>
      </c>
      <c r="D12" s="3"/>
      <c r="E12" s="31" t="s">
        <v>45</v>
      </c>
      <c r="F12" s="32" t="s">
        <v>46</v>
      </c>
    </row>
    <row r="13" spans="1:7" x14ac:dyDescent="0.2">
      <c r="A13" s="10" t="s">
        <v>18</v>
      </c>
      <c r="B13" s="10"/>
      <c r="C13" s="3" t="s">
        <v>13</v>
      </c>
      <c r="E13" s="33" t="s">
        <v>34</v>
      </c>
      <c r="F13" s="34">
        <v>1</v>
      </c>
    </row>
    <row r="14" spans="1:7" x14ac:dyDescent="0.2">
      <c r="A14" s="10"/>
      <c r="B14" s="10"/>
      <c r="C14" s="10"/>
      <c r="E14" s="33" t="s">
        <v>31</v>
      </c>
      <c r="F14" s="35">
        <f ca="1">NOW()+15018.5+$C$9/24</f>
        <v>60520.839965046296</v>
      </c>
    </row>
    <row r="15" spans="1:7" x14ac:dyDescent="0.2">
      <c r="A15" s="12" t="s">
        <v>17</v>
      </c>
      <c r="B15" s="10"/>
      <c r="C15" s="13">
        <f ca="1">(C7+C11)+(C8+C12)*INT(MAX(F21:F3533))</f>
        <v>55390.510298843794</v>
      </c>
      <c r="E15" s="33" t="s">
        <v>35</v>
      </c>
      <c r="F15" s="35">
        <f ca="1">ROUND(2*(F14-$C$7)/$C$8,0)/2+F13</f>
        <v>11281.5</v>
      </c>
    </row>
    <row r="16" spans="1:7" x14ac:dyDescent="0.2">
      <c r="A16" s="15" t="s">
        <v>4</v>
      </c>
      <c r="B16" s="10"/>
      <c r="C16" s="16">
        <f ca="1">+C8+C12</f>
        <v>1.065552462005418</v>
      </c>
      <c r="E16" s="33" t="s">
        <v>36</v>
      </c>
      <c r="F16" s="36">
        <f ca="1">ROUND(2*(F14-$C$15)/$C$16,0)/2+F13</f>
        <v>4815.5</v>
      </c>
    </row>
    <row r="17" spans="1:18" ht="13.5" thickBot="1" x14ac:dyDescent="0.25">
      <c r="A17" s="14" t="s">
        <v>28</v>
      </c>
      <c r="B17" s="10"/>
      <c r="C17" s="10">
        <f>COUNT(C21:C2191)</f>
        <v>4</v>
      </c>
      <c r="E17" s="33" t="s">
        <v>48</v>
      </c>
      <c r="F17" s="37">
        <f ca="1">+$C$15+$C$16*$F$16-15018.5-$C$9/24</f>
        <v>45503.574012964222</v>
      </c>
    </row>
    <row r="18" spans="1:18" ht="14.25" thickTop="1" thickBot="1" x14ac:dyDescent="0.25">
      <c r="A18" s="15" t="s">
        <v>5</v>
      </c>
      <c r="B18" s="10"/>
      <c r="C18" s="17">
        <f ca="1">+C15</f>
        <v>55390.510298843794</v>
      </c>
      <c r="D18" s="18">
        <f ca="1">+C16</f>
        <v>1.065552462005418</v>
      </c>
      <c r="E18" s="39" t="s">
        <v>49</v>
      </c>
      <c r="F18" s="38">
        <f ca="1">+($C$15+$C$16*$F$16)-($C$16/2)-15018.5-$C$9/24</f>
        <v>45503.041236733217</v>
      </c>
    </row>
    <row r="19" spans="1:18" ht="13.5" thickTop="1" x14ac:dyDescent="0.2">
      <c r="A19" s="22" t="s">
        <v>32</v>
      </c>
      <c r="E19" s="23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38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8" x14ac:dyDescent="0.2">
      <c r="A21" t="s">
        <v>41</v>
      </c>
      <c r="C21" s="8">
        <v>48500.648999999998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-9.2048324009945089E-4</v>
      </c>
      <c r="Q21" s="2">
        <f>+C21-15018.5</f>
        <v>33482.148999999998</v>
      </c>
    </row>
    <row r="22" spans="1:18" x14ac:dyDescent="0.2">
      <c r="A22" s="28" t="s">
        <v>44</v>
      </c>
      <c r="B22" s="29" t="s">
        <v>43</v>
      </c>
      <c r="C22" s="28">
        <v>54984.506000000001</v>
      </c>
      <c r="D22" s="28">
        <v>0.01</v>
      </c>
      <c r="E22">
        <f>+(C22-C$7)/C$8</f>
        <v>6084.9690254731613</v>
      </c>
      <c r="F22">
        <f>ROUND(2*E22,0)/2</f>
        <v>6085</v>
      </c>
      <c r="G22">
        <f>+C22-(C$7+F22*C$8)</f>
        <v>-3.3004999997501727E-2</v>
      </c>
      <c r="I22">
        <f>+G22</f>
        <v>-3.3004999997501727E-2</v>
      </c>
      <c r="O22">
        <f ca="1">+C$11+C$12*$F22</f>
        <v>-4.1941802718180694E-3</v>
      </c>
      <c r="Q22" s="2">
        <f>+C22-15018.5</f>
        <v>39966.006000000001</v>
      </c>
    </row>
    <row r="23" spans="1:18" x14ac:dyDescent="0.2">
      <c r="A23" s="28" t="s">
        <v>42</v>
      </c>
      <c r="B23" s="29" t="s">
        <v>43</v>
      </c>
      <c r="C23" s="28">
        <v>54984.548000000003</v>
      </c>
      <c r="D23" s="28">
        <v>0.01</v>
      </c>
      <c r="E23">
        <f>+(C23-C$7)/C$8</f>
        <v>6085.0084416260897</v>
      </c>
      <c r="F23">
        <f>ROUND(2*E23,0)/2</f>
        <v>6085</v>
      </c>
      <c r="G23">
        <f>+C23-(C$7+F23*C$8)</f>
        <v>8.9950000037788413E-3</v>
      </c>
      <c r="I23">
        <f>+G23</f>
        <v>8.9950000037788413E-3</v>
      </c>
      <c r="O23">
        <f ca="1">+C$11+C$12*$F23</f>
        <v>-4.1941802718180694E-3</v>
      </c>
      <c r="Q23" s="2">
        <f>+C23-15018.5</f>
        <v>39966.048000000003</v>
      </c>
    </row>
    <row r="24" spans="1:18" x14ac:dyDescent="0.2">
      <c r="A24" s="28" t="s">
        <v>42</v>
      </c>
      <c r="B24" s="29" t="s">
        <v>43</v>
      </c>
      <c r="C24" s="28">
        <v>55390.525000000001</v>
      </c>
      <c r="D24" s="28">
        <v>0.01</v>
      </c>
      <c r="E24">
        <f>+(C24-C$7)/C$8</f>
        <v>6466.0096682192288</v>
      </c>
      <c r="F24">
        <f>ROUND(2*E24,0)/2</f>
        <v>6466</v>
      </c>
      <c r="G24">
        <f>+C24-(C$7+F24*C$8)</f>
        <v>1.030200000241166E-2</v>
      </c>
      <c r="I24">
        <f>+G24</f>
        <v>1.030200000241166E-2</v>
      </c>
      <c r="O24">
        <f ca="1">+C$11+C$12*$F24</f>
        <v>-4.3991562075756359E-3</v>
      </c>
      <c r="Q24" s="2">
        <f>+C24-15018.5</f>
        <v>40372.025000000001</v>
      </c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T25">
    <sortCondition ref="C21:C25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2024-07-29T08:09:33Z</dcterms:modified>
</cp:coreProperties>
</file>