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D97055D-702C-457E-B4FB-9044746705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G11" i="1"/>
  <c r="F11" i="1"/>
  <c r="C21" i="1"/>
  <c r="C7" i="1"/>
  <c r="C8" i="1"/>
  <c r="E22" i="1"/>
  <c r="F22" i="1"/>
  <c r="Q22" i="1"/>
  <c r="F1" i="1"/>
  <c r="A21" i="1"/>
  <c r="R22" i="1"/>
  <c r="C17" i="1"/>
  <c r="Q21" i="1"/>
  <c r="G22" i="1"/>
  <c r="N22" i="1"/>
  <c r="E21" i="1"/>
  <c r="F21" i="1"/>
  <c r="G21" i="1"/>
  <c r="H21" i="1"/>
  <c r="C11" i="1"/>
  <c r="F15" i="1" l="1"/>
  <c r="C12" i="1"/>
  <c r="O21" i="1" l="1"/>
  <c r="O22" i="1"/>
  <c r="C16" i="1"/>
  <c r="D18" i="1" s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<sst xmlns="http://schemas.openxmlformats.org/spreadsheetml/2006/main" count="55" uniqueCount="50">
  <si>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</si>
  <si>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</si>
  <si>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</si>
  <si>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</si>
  <si>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</si>
  <si>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</si>
  <si>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</si>
  <si>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</si>
  <si>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</si>
  <si>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</si>
  <si>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</si>
  <si>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</si>
  <si>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</si>
  <si>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</si>
  <si>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</si>
  <si>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</si>
  <si>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</si>
  <si>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</si>
  <si>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</si>
  <si>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</si>
  <si>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</si>
  <si>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</si>
  <si>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</si>
  <si>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</si>
  <si>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</si>
  <si>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</si>
  <si>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</si>
  <si>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</si>
  <si>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</si>
  <si>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</si>
  <si>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</si>
  <si>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</si>
  <si>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</si>
  <si>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</si>
  <si>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</si>
  <si>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EB:</t>
  </si>
  <si>
    <t>IBVS 5480 Eph.</t>
  </si>
  <si>
    <t>IBVS 5480</t>
  </si>
  <si>
    <t>Aps</t>
  </si>
  <si>
    <t>PS Aps  / GSC 9437-0286</t>
  </si>
  <si>
    <t>Aps_PS.xls</t>
  </si>
  <si>
    <t>OEJV 0073</t>
  </si>
  <si>
    <t xml:space="preserve">Mag </t>
  </si>
  <si>
    <t>Add cycle</t>
  </si>
  <si>
    <t>Old Cycle</t>
  </si>
  <si>
    <t>Next ToM-P</t>
  </si>
  <si>
    <t>Next ToM-S</t>
  </si>
  <si>
    <t>VSX</t>
  </si>
  <si>
    <t>7.86-7.97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</si>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</sst>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7" fillId="0" borderId="9" xfId="0" applyFont="1" applyBorder="1" applyAlignment="1"/>
    <xf numFmtId="0" fontId="16" fillId="0" borderId="9" xfId="0" applyFont="1" applyBorder="1" applyAlignment="1">
      <alignment horizontal="right" vertical="center"/>
    </xf>
    <xf numFmtId="22" fontId="15" fillId="0" borderId="8" xfId="0" applyNumberFormat="1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22" fontId="16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PS Aps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5259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C6-42D4-B955-073BD8B3753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5259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C6-42D4-B955-073BD8B3753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5259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C6-42D4-B955-073BD8B3753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5259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C6-42D4-B955-073BD8B3753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5259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C6-42D4-B955-073BD8B3753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5259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C6-42D4-B955-073BD8B3753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5259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  <c:pt idx="1">
                  <c:v>4.6320000037667342E-3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C6-42D4-B955-073BD8B3753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5259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  <c:pt idx="1">
                  <c:v>4.6320000037667342E-3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C6-42D4-B955-073BD8B37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995912"/>
        <c:axId val="1"/>
      </c:scatterChart>
      <c:valAx>
        <c:axId val="647995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995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38101</xdr:rowOff>
    </xdr:from>
    <xdr:to>
      <xdr:col>17</xdr:col>
      <xdr:colOff>142875</xdr:colOff>
      <xdr:row>18</xdr:row>
      <xdr:rowOff>85726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571041B-6A31-9867-3E16-2B93FE8F2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9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39</v>
      </c>
      <c r="E1" s="27"/>
      <c r="F1" s="27" t="str">
        <f>L1&amp;"_"&amp;AM1&amp;".xls"</f>
        <v>Aps_.xls</v>
      </c>
      <c r="G1" s="28" t="s">
        <v>35</v>
      </c>
      <c r="H1" s="27" t="s">
        <v>36</v>
      </c>
      <c r="I1" s="29">
        <v>48574.241000000002</v>
      </c>
      <c r="J1" s="29">
        <v>1.086152</v>
      </c>
      <c r="K1" s="27" t="s">
        <v>37</v>
      </c>
      <c r="L1" s="27" t="s">
        <v>38</v>
      </c>
    </row>
    <row r="2" spans="1:12" x14ac:dyDescent="0.2">
      <c r="A2" t="s">
        <v>23</v>
      </c>
      <c r="B2" t="s">
        <v>35</v>
      </c>
      <c r="D2" s="9" t="s">
        <v>38</v>
      </c>
      <c r="E2" t="s">
        <v>40</v>
      </c>
    </row>
    <row r="3" spans="1:12" ht="13.5" thickBot="1" x14ac:dyDescent="0.25"/>
    <row r="4" spans="1:12" ht="14.25" thickTop="1" thickBot="1" x14ac:dyDescent="0.25">
      <c r="A4" s="26" t="s">
        <v>36</v>
      </c>
      <c r="C4" s="7">
        <v>48574.241000000002</v>
      </c>
      <c r="D4" s="8">
        <v>1.086152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48574.241000000002</v>
      </c>
      <c r="D7" s="31" t="s">
        <v>47</v>
      </c>
    </row>
    <row r="8" spans="1:12" x14ac:dyDescent="0.2">
      <c r="A8" t="s">
        <v>2</v>
      </c>
      <c r="C8">
        <f>+D4</f>
        <v>1.086152</v>
      </c>
      <c r="D8" s="31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>
        <f ca="1">INTERCEPT(INDIRECT($G$11):G991,INDIRECT($F$11):F991)</f>
        <v>0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>
        <f ca="1">SLOPE(INDIRECT($G$11):G991,INDIRECT($F$11):F991)</f>
        <v>8.8077581360843015E-7</v>
      </c>
      <c r="D12" s="13"/>
      <c r="E12" s="32" t="s">
        <v>42</v>
      </c>
      <c r="F12" s="33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4" t="s">
        <v>43</v>
      </c>
      <c r="F13" s="35">
        <v>1</v>
      </c>
    </row>
    <row r="14" spans="1:12" x14ac:dyDescent="0.2">
      <c r="A14" s="11"/>
      <c r="B14" s="11"/>
      <c r="C14" s="11"/>
      <c r="D14" s="11"/>
      <c r="E14" s="34" t="s">
        <v>32</v>
      </c>
      <c r="F14" s="36">
        <f ca="1">NOW()+15018.5+$C$9/24</f>
        <v>60520.84091712963</v>
      </c>
    </row>
    <row r="15" spans="1:12" x14ac:dyDescent="0.2">
      <c r="A15" s="14" t="s">
        <v>16</v>
      </c>
      <c r="B15" s="11"/>
      <c r="C15" s="15">
        <f ca="1">(C7+C11)+(C8+C12)*INT(MAX(F21:F3532))</f>
        <v>54286.319000000003</v>
      </c>
      <c r="D15" s="16"/>
      <c r="E15" s="34" t="s">
        <v>44</v>
      </c>
      <c r="F15" s="36">
        <f ca="1">ROUND(2*($F$14-$C$7)/$C$8,0)/2+$F$13</f>
        <v>11000</v>
      </c>
    </row>
    <row r="16" spans="1:12" x14ac:dyDescent="0.2">
      <c r="A16" s="17" t="s">
        <v>3</v>
      </c>
      <c r="B16" s="11"/>
      <c r="C16" s="18">
        <f ca="1">+C8+C12</f>
        <v>1.0861528807758136</v>
      </c>
      <c r="D16" s="16"/>
      <c r="E16" s="34" t="s">
        <v>33</v>
      </c>
      <c r="F16" s="36">
        <f ca="1">ROUND(2*($F$14-$C$15)/$C$16,0)/2+$F$13</f>
        <v>5741</v>
      </c>
    </row>
    <row r="17" spans="1:18" ht="13.5" thickBot="1" x14ac:dyDescent="0.25">
      <c r="A17" s="16" t="s">
        <v>29</v>
      </c>
      <c r="B17" s="11"/>
      <c r="C17" s="11">
        <f>COUNT(C21:C2190)</f>
        <v>2</v>
      </c>
      <c r="D17" s="16"/>
      <c r="E17" s="37" t="s">
        <v>45</v>
      </c>
      <c r="F17" s="38">
        <f ca="1">+$C$15+$C$16*$F$16-15018.5-$C$9/24</f>
        <v>45503.818521867288</v>
      </c>
    </row>
    <row r="18" spans="1:18" ht="14.25" thickTop="1" thickBot="1" x14ac:dyDescent="0.25">
      <c r="A18" s="17" t="s">
        <v>4</v>
      </c>
      <c r="B18" s="11"/>
      <c r="C18" s="19">
        <f ca="1">+C15</f>
        <v>54286.319000000003</v>
      </c>
      <c r="D18" s="20">
        <f ca="1">+C16</f>
        <v>1.0861528807758136</v>
      </c>
      <c r="E18" s="40" t="s">
        <v>46</v>
      </c>
      <c r="F18" s="39">
        <f ca="1">+($C$15+$C$16*$F$16)-($C$16/2)-15018.5-$C$9/24</f>
        <v>45503.275445426902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49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48574.241000000002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33555.741000000002</v>
      </c>
    </row>
    <row r="22" spans="1:18" x14ac:dyDescent="0.2">
      <c r="A22" s="30" t="s">
        <v>41</v>
      </c>
      <c r="C22" s="9">
        <v>54286.319000000003</v>
      </c>
      <c r="D22" s="9">
        <v>0.02</v>
      </c>
      <c r="E22">
        <f>+(C22-C$7)/C$8</f>
        <v>5259.004264596485</v>
      </c>
      <c r="F22">
        <f>ROUND(2*E22,0)/2</f>
        <v>5259</v>
      </c>
      <c r="G22">
        <f>+C22-(C$7+F22*C$8)</f>
        <v>4.6320000037667342E-3</v>
      </c>
      <c r="N22">
        <f>+G22</f>
        <v>4.6320000037667342E-3</v>
      </c>
      <c r="O22">
        <f ca="1">+C$11+C$12*$F22</f>
        <v>4.6320000037667342E-3</v>
      </c>
      <c r="Q22" s="2">
        <f>+C22-15018.5</f>
        <v>39267.819000000003</v>
      </c>
      <c r="R22" t="str">
        <f>IF(ABS(C22-C21)&lt;0.00001,1,"")</f>
        <v/>
      </c>
    </row>
    <row r="23" spans="1:18" x14ac:dyDescent="0.2">
      <c r="Q23" s="2"/>
    </row>
    <row r="24" spans="1:18" x14ac:dyDescent="0.2">
      <c r="C24" s="9"/>
      <c r="D24" s="9"/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2024-07-29T08:10:55Z</dcterms:modified>
</cp:coreProperties>
</file>