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0970C1-3FD5-4558-8AF0-F1B5E73F6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21" i="1"/>
  <c r="Q21" i="1"/>
  <c r="A21" i="1"/>
  <c r="G11" i="1"/>
  <c r="F11" i="1"/>
  <c r="C7" i="1"/>
  <c r="E22" i="1"/>
  <c r="F22" i="1"/>
  <c r="C8" i="1"/>
  <c r="C17" i="1"/>
  <c r="G22" i="1"/>
  <c r="I22" i="1"/>
  <c r="E21" i="1"/>
  <c r="F21" i="1"/>
  <c r="G21" i="1"/>
  <c r="H21" i="1"/>
  <c r="C11" i="1"/>
  <c r="F15" i="1" l="1"/>
  <c r="C12" i="1"/>
  <c r="C16" i="1" l="1"/>
  <c r="D18" i="1" s="1"/>
  <c r="O21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<sst xmlns="http://schemas.openxmlformats.org/spreadsheetml/2006/main" count="57" uniqueCount="52">
  <si>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</si>
  <si>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</si>
  <si>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</si>
  <si>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</si>
  <si>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</si>
  <si>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</si>
  <si>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</si>
  <si>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</si>
  <si>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</si>
  <si>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</si>
  <si>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</si>
  <si>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</si>
  <si>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</si>
  <si>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</si>
  <si>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</si>
  <si>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</si>
  <si>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</si>
  <si>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</si>
  <si>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</si>
  <si>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</si>
  <si>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</si>
  <si>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</si>
  <si>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</si>
  <si>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</si>
  <si>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</si>
  <si>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</si>
  <si>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</si>
  <si>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</si>
  <si>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</si>
  <si>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</si>
  <si>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</si>
  <si>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</si>
  <si>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</si>
  <si>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</si>
  <si>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G9252-1620_Aps.xls</t>
  </si>
  <si>
    <t>EA</t>
  </si>
  <si>
    <t>IBVS 5532 Eph.</t>
  </si>
  <si>
    <t>IBVS 5532</t>
  </si>
  <si>
    <t>Aps</t>
  </si>
  <si>
    <t>I</t>
  </si>
  <si>
    <t>Anton 2007</t>
  </si>
  <si>
    <t xml:space="preserve">Mag </t>
  </si>
  <si>
    <t>Add cycle</t>
  </si>
  <si>
    <t>Old Cycle</t>
  </si>
  <si>
    <t>Next ToM-P</t>
  </si>
  <si>
    <t>Next ToM-S</t>
  </si>
  <si>
    <t>PT Aps / NSV 06592 / GSC 9252 1620</t>
  </si>
  <si>
    <t>VSX</t>
  </si>
  <si>
    <t>12.19-13.30</t>
  </si>
  <si>
    <t>OEJV 2007,73,1P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</si>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</sst>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b/>
      <i/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Aps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A3-4AA5-BF79-7B856DC5FC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2.9199999989941716E-3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A3-4AA5-BF79-7B856DC5FC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3-4AA5-BF79-7B856DC5FC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3-4AA5-BF79-7B856DC5FC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A3-4AA5-BF79-7B856DC5FC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A3-4AA5-BF79-7B856DC5FC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A3-4AA5-BF79-7B856DC5FC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2.9199999989941716E-3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3-4AA5-BF79-7B856DC5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62224"/>
        <c:axId val="1"/>
      </c:scatterChart>
      <c:valAx>
        <c:axId val="647162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162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8646616541353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A16226-09D8-D282-2882-BA3B7D3A1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/>
  <cols>
    <col min="1" max="1" width="16.285156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9.42578125" customWidth="1"/>
  </cols>
  <sheetData>
    <row r="1" spans="1:12" ht="20.25">
      <c r="A1" s="1" t="s">
        <v>46</v>
      </c>
      <c r="E1" s="27"/>
      <c r="F1" s="28" t="s">
        <v>34</v>
      </c>
      <c r="G1" s="29" t="s">
        <v>35</v>
      </c>
      <c r="H1" s="30" t="s">
        <v>36</v>
      </c>
      <c r="I1" s="31">
        <v>51903.842000000004</v>
      </c>
      <c r="J1" s="31">
        <v>2.7418800000000001</v>
      </c>
      <c r="K1" s="30" t="s">
        <v>37</v>
      </c>
      <c r="L1" s="32" t="s">
        <v>38</v>
      </c>
    </row>
    <row r="2" spans="1:12">
      <c r="A2" t="s">
        <v>22</v>
      </c>
      <c r="B2" t="s">
        <v>35</v>
      </c>
      <c r="C2" s="3"/>
      <c r="D2" t="s">
        <v>34</v>
      </c>
    </row>
    <row r="3" spans="1:12" ht="13.5" thickBot="1"/>
    <row r="4" spans="1:12" ht="14.25" thickTop="1" thickBot="1">
      <c r="A4" s="26" t="s">
        <v>36</v>
      </c>
      <c r="C4" s="8">
        <v>51903.842000000004</v>
      </c>
      <c r="D4" s="9">
        <v>2.7418800000000001</v>
      </c>
    </row>
    <row r="6" spans="1:12">
      <c r="A6" s="5" t="s">
        <v>0</v>
      </c>
    </row>
    <row r="7" spans="1:12">
      <c r="A7" t="s">
        <v>1</v>
      </c>
      <c r="C7">
        <f>+C4</f>
        <v>51903.842000000004</v>
      </c>
      <c r="D7" s="34" t="s">
        <v>47</v>
      </c>
    </row>
    <row r="8" spans="1:12">
      <c r="A8" t="s">
        <v>2</v>
      </c>
      <c r="C8">
        <f>+D4</f>
        <v>2.7418800000000001</v>
      </c>
      <c r="D8" s="34" t="s">
        <v>47</v>
      </c>
    </row>
    <row r="9" spans="1:12">
      <c r="A9" s="11" t="s">
        <v>29</v>
      </c>
      <c r="B9" s="12"/>
      <c r="C9" s="13">
        <v>-9.5</v>
      </c>
      <c r="D9" s="12" t="s">
        <v>30</v>
      </c>
      <c r="E9" s="12"/>
    </row>
    <row r="10" spans="1:12" ht="13.5" thickBot="1">
      <c r="A10" s="12"/>
      <c r="B10" s="12"/>
      <c r="C10" s="4" t="s">
        <v>18</v>
      </c>
      <c r="D10" s="4" t="s">
        <v>19</v>
      </c>
      <c r="E10" s="12"/>
    </row>
    <row r="11" spans="1:12">
      <c r="A11" s="12" t="s">
        <v>14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12">
      <c r="A12" s="12" t="s">
        <v>15</v>
      </c>
      <c r="B12" s="12"/>
      <c r="C12" s="21">
        <f ca="1">SLOPE(INDIRECT($G$11):G992,INDIRECT($F$11):F992)</f>
        <v>3.3718244792080504E-6</v>
      </c>
      <c r="D12" s="3"/>
      <c r="E12" s="35" t="s">
        <v>41</v>
      </c>
      <c r="F12" s="36" t="s">
        <v>48</v>
      </c>
    </row>
    <row r="13" spans="1:12">
      <c r="A13" s="12" t="s">
        <v>17</v>
      </c>
      <c r="B13" s="12"/>
      <c r="C13" s="3" t="s">
        <v>12</v>
      </c>
      <c r="D13" s="3"/>
      <c r="E13" s="37" t="s">
        <v>42</v>
      </c>
      <c r="F13" s="38">
        <v>1</v>
      </c>
    </row>
    <row r="14" spans="1:12">
      <c r="A14" s="12"/>
      <c r="B14" s="12"/>
      <c r="C14" s="12"/>
      <c r="D14" s="12"/>
      <c r="E14" s="37" t="s">
        <v>31</v>
      </c>
      <c r="F14" s="39">
        <f ca="1">NOW()+15018.5+$C$9/24</f>
        <v>60520.841153009256</v>
      </c>
    </row>
    <row r="15" spans="1:12">
      <c r="A15" s="14" t="s">
        <v>16</v>
      </c>
      <c r="B15" s="12"/>
      <c r="C15" s="15">
        <f ca="1">(C7+C11)+(C8+C12)*INT(MAX(F21:F3533))</f>
        <v>54278.313000000002</v>
      </c>
      <c r="D15" s="16"/>
      <c r="E15" s="37" t="s">
        <v>43</v>
      </c>
      <c r="F15" s="39">
        <f ca="1">ROUND(2*($F$14-$C$7)/$C$8,0)/2+$F$13</f>
        <v>3143.5</v>
      </c>
    </row>
    <row r="16" spans="1:12">
      <c r="A16" s="17" t="s">
        <v>3</v>
      </c>
      <c r="B16" s="12"/>
      <c r="C16" s="18">
        <f ca="1">+C8+C12</f>
        <v>2.7418833718244793</v>
      </c>
      <c r="D16" s="16"/>
      <c r="E16" s="37" t="s">
        <v>32</v>
      </c>
      <c r="F16" s="39">
        <f ca="1">ROUND(2*($F$14-$C$15)/$C$16,0)/2+$F$13</f>
        <v>2277.5</v>
      </c>
    </row>
    <row r="17" spans="1:22" ht="13.5" thickBot="1">
      <c r="A17" s="16" t="s">
        <v>28</v>
      </c>
      <c r="B17" s="12"/>
      <c r="C17" s="12">
        <f>COUNT(C21:C2191)</f>
        <v>2</v>
      </c>
      <c r="D17" s="16"/>
      <c r="E17" s="40" t="s">
        <v>44</v>
      </c>
      <c r="F17" s="41">
        <f ca="1">+$C$15+$C$16*$F$16-15018.5-$C$9/24</f>
        <v>45504.848212663586</v>
      </c>
    </row>
    <row r="18" spans="1:22" ht="14.25" thickTop="1" thickBot="1">
      <c r="A18" s="17" t="s">
        <v>4</v>
      </c>
      <c r="B18" s="12"/>
      <c r="C18" s="19">
        <f ca="1">+C15</f>
        <v>54278.313000000002</v>
      </c>
      <c r="D18" s="20">
        <f ca="1">+C16</f>
        <v>2.7418833718244793</v>
      </c>
      <c r="E18" s="43" t="s">
        <v>45</v>
      </c>
      <c r="F18" s="42">
        <f ca="1">+($C$15+$C$16*$F$16)-($C$16/2)-15018.5-$C$9/24</f>
        <v>45503.477270977673</v>
      </c>
    </row>
    <row r="19" spans="1:22" ht="13.5" thickTop="1">
      <c r="A19" s="24" t="s">
        <v>33</v>
      </c>
      <c r="E19" s="25">
        <v>21</v>
      </c>
    </row>
    <row r="20" spans="1:22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50</v>
      </c>
      <c r="J20" s="7" t="s">
        <v>51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2">
      <c r="A21" t="str">
        <f>$K$1</f>
        <v>IBVS 5532</v>
      </c>
      <c r="C21" s="10">
        <f>+$C$4</f>
        <v>51903.842000000004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36885.342000000004</v>
      </c>
    </row>
    <row r="22" spans="1:22">
      <c r="A22" s="34" t="s">
        <v>49</v>
      </c>
      <c r="B22" s="3" t="s">
        <v>39</v>
      </c>
      <c r="C22" s="10">
        <v>54278.313000000002</v>
      </c>
      <c r="D22" s="10">
        <v>4.0000000000000001E-3</v>
      </c>
      <c r="E22">
        <f>+(C22-C$7)/C$8</f>
        <v>866.00106496272542</v>
      </c>
      <c r="F22">
        <f>ROUND(2*E22,0)/2</f>
        <v>866</v>
      </c>
      <c r="G22">
        <f>+C22-(C$7+F22*C$8)</f>
        <v>2.9199999989941716E-3</v>
      </c>
      <c r="I22">
        <f>+G22</f>
        <v>2.9199999989941716E-3</v>
      </c>
      <c r="O22">
        <f ca="1">+C$11+C$12*$F22</f>
        <v>2.9199999989941716E-3</v>
      </c>
      <c r="Q22" s="2">
        <f>+C22-15018.5</f>
        <v>39259.813000000002</v>
      </c>
      <c r="R22" s="33"/>
      <c r="V22" t="s">
        <v>40</v>
      </c>
    </row>
    <row r="23" spans="1:22">
      <c r="C23" s="10"/>
      <c r="D23" s="10"/>
      <c r="Q23" s="2"/>
    </row>
    <row r="24" spans="1:22">
      <c r="Q24" s="2"/>
    </row>
    <row r="25" spans="1:22">
      <c r="C25" s="10"/>
      <c r="D25" s="10"/>
      <c r="Q25" s="2"/>
    </row>
    <row r="26" spans="1:22">
      <c r="C26" s="10"/>
      <c r="D26" s="10"/>
      <c r="Q26" s="2"/>
    </row>
    <row r="27" spans="1:22">
      <c r="C27" s="10"/>
      <c r="D27" s="10"/>
      <c r="Q27" s="2"/>
    </row>
    <row r="28" spans="1:22">
      <c r="C28" s="10"/>
      <c r="D28" s="10"/>
      <c r="Q28" s="2"/>
    </row>
    <row r="29" spans="1:22">
      <c r="C29" s="10"/>
      <c r="D29" s="10"/>
      <c r="Q29" s="2"/>
    </row>
    <row r="30" spans="1:22">
      <c r="C30" s="10"/>
      <c r="D30" s="10"/>
      <c r="Q30" s="2"/>
    </row>
    <row r="31" spans="1:22">
      <c r="C31" s="10"/>
      <c r="D31" s="10"/>
      <c r="Q31" s="2"/>
    </row>
    <row r="32" spans="1:22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2024-07-29T08:11:15Z</dcterms:modified>
</cp:coreProperties>
</file>