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EE140E0-439E-40E8-BF19-CB2F8A2D0F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C17" i="1" s="1"/>
  <c r="A22" i="1"/>
  <c r="F14" i="1"/>
  <c r="Q23" i="1"/>
  <c r="G11" i="1"/>
  <c r="F11" i="1"/>
  <c r="E23" i="1"/>
  <c r="F23" i="1" s="1"/>
  <c r="G23" i="1" s="1"/>
  <c r="J23" i="1" s="1"/>
  <c r="E21" i="1"/>
  <c r="F21" i="1" s="1"/>
  <c r="G21" i="1" s="1"/>
  <c r="H21" i="1" s="1"/>
  <c r="Q21" i="1"/>
  <c r="C12" i="1"/>
  <c r="F15" i="1" l="1"/>
  <c r="C16" i="1"/>
  <c r="D18" i="1" s="1"/>
  <c r="C11" i="1"/>
  <c r="O22" i="1" l="1"/>
  <c r="O23" i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<sst xmlns="http://schemas.openxmlformats.org/spreadsheetml/2006/main" count="51" uniqueCount="47">
  <si>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</si>
  <si>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</si>
  <si>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</si>
  <si>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</si>
  <si>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</si>
  <si>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</si>
  <si>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</si>
  <si>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</si>
  <si>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</si>
  <si>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</si>
  <si>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</si>
  <si>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</si>
  <si>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</si>
  <si>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</si>
  <si>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</si>
  <si>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</si>
  <si>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</si>
  <si>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</si>
  <si>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</si>
  <si>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</si>
  <si>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</si>
  <si>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</si>
  <si>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</si>
  <si>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</si>
  <si>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</si>
  <si>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</si>
  <si>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</si>
  <si>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</si>
  <si>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</si>
  <si>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</si>
  <si>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</si>
  <si>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</si>
  <si>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</si>
  <si>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</si>
  <si>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</si>
  <si>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SZ Aps / na</t>
  </si>
  <si>
    <t>OEJV 0048</t>
  </si>
  <si>
    <t>I</t>
  </si>
  <si>
    <t xml:space="preserve">Mag </t>
  </si>
  <si>
    <t>Add cycle</t>
  </si>
  <si>
    <t>Old Cycle</t>
  </si>
  <si>
    <t>Next ToM-P</t>
  </si>
  <si>
    <t>Next ToM-S</t>
  </si>
  <si>
    <t>13.65-&lt;14.9</t>
  </si>
  <si>
    <t>EA/SD</t>
  </si>
  <si>
    <t>VSX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</si>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</sst>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/>
    <xf numFmtId="0" fontId="0" fillId="2" borderId="5" xfId="0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/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SZ Aps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-8007</c:v>
                </c:pt>
                <c:pt idx="1">
                  <c:v>0</c:v>
                </c:pt>
                <c:pt idx="2">
                  <c:v>113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0.82630000000062864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CA-46ED-AF9D-BE8427347C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-8007</c:v>
                </c:pt>
                <c:pt idx="1">
                  <c:v>0</c:v>
                </c:pt>
                <c:pt idx="2">
                  <c:v>113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CA-46ED-AF9D-BE8427347C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-8007</c:v>
                </c:pt>
                <c:pt idx="1">
                  <c:v>0</c:v>
                </c:pt>
                <c:pt idx="2">
                  <c:v>113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1.4300000002549496E-2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CA-46ED-AF9D-BE8427347C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-8007</c:v>
                </c:pt>
                <c:pt idx="1">
                  <c:v>0</c:v>
                </c:pt>
                <c:pt idx="2">
                  <c:v>113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CA-46ED-AF9D-BE8427347C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-8007</c:v>
                </c:pt>
                <c:pt idx="1">
                  <c:v>0</c:v>
                </c:pt>
                <c:pt idx="2">
                  <c:v>113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CA-46ED-AF9D-BE8427347C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-8007</c:v>
                </c:pt>
                <c:pt idx="1">
                  <c:v>0</c:v>
                </c:pt>
                <c:pt idx="2">
                  <c:v>113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CA-46ED-AF9D-BE8427347C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-8007</c:v>
                </c:pt>
                <c:pt idx="1">
                  <c:v>0</c:v>
                </c:pt>
                <c:pt idx="2">
                  <c:v>113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CA-46ED-AF9D-BE8427347C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-8007</c:v>
                </c:pt>
                <c:pt idx="1">
                  <c:v>0</c:v>
                </c:pt>
                <c:pt idx="2">
                  <c:v>113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0.82611939353256336</c:v>
                </c:pt>
                <c:pt idx="1">
                  <c:v>1.2978093103453325E-2</c:v>
                </c:pt>
                <c:pt idx="2">
                  <c:v>1.5025133671614007E-3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CA-46ED-AF9D-BE8427347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424720"/>
        <c:axId val="1"/>
      </c:scatterChart>
      <c:valAx>
        <c:axId val="743424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424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75366568914952"/>
          <c:w val="0.678195488721804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8D07A9-3858-46BA-7DCD-D6CD61808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71093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35</v>
      </c>
    </row>
    <row r="2" spans="1:7">
      <c r="A2" t="s">
        <v>24</v>
      </c>
      <c r="B2" s="29" t="s">
        <v>44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25330.55</v>
      </c>
      <c r="D4" s="9">
        <v>3.52</v>
      </c>
    </row>
    <row r="6" spans="1:7">
      <c r="A6" s="5" t="s">
        <v>1</v>
      </c>
    </row>
    <row r="7" spans="1:7">
      <c r="A7" t="s">
        <v>2</v>
      </c>
      <c r="C7">
        <v>53521.57</v>
      </c>
      <c r="D7" s="29" t="s">
        <v>45</v>
      </c>
    </row>
    <row r="8" spans="1:7">
      <c r="A8" t="s">
        <v>3</v>
      </c>
      <c r="C8">
        <v>3.5209000000000001</v>
      </c>
      <c r="D8" s="29" t="s">
        <v>45</v>
      </c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1">
        <f ca="1">INTERCEPT(INDIRECT($G$11):G992,INDIRECT($F$11):F992)</f>
        <v>1.2978093103453325E-2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>
      <c r="A12" s="12" t="s">
        <v>17</v>
      </c>
      <c r="B12" s="12"/>
      <c r="C12" s="21">
        <f ca="1">SLOPE(INDIRECT($G$11):G992,INDIRECT($F$11):F992)</f>
        <v>-1.0155380297603473E-4</v>
      </c>
      <c r="D12" s="3"/>
      <c r="E12" s="30" t="s">
        <v>38</v>
      </c>
      <c r="F12" s="31" t="s">
        <v>43</v>
      </c>
    </row>
    <row r="13" spans="1:7">
      <c r="A13" s="12" t="s">
        <v>19</v>
      </c>
      <c r="B13" s="12"/>
      <c r="C13" s="3" t="s">
        <v>14</v>
      </c>
      <c r="D13" s="3"/>
      <c r="E13" s="32" t="s">
        <v>39</v>
      </c>
      <c r="F13" s="33">
        <v>1</v>
      </c>
    </row>
    <row r="14" spans="1:7">
      <c r="A14" s="12"/>
      <c r="B14" s="12"/>
      <c r="C14" s="12"/>
      <c r="D14" s="12"/>
      <c r="E14" s="32" t="s">
        <v>32</v>
      </c>
      <c r="F14" s="34">
        <f ca="1">NOW()+15018.5+$C$9/24</f>
        <v>60520.84240509259</v>
      </c>
    </row>
    <row r="15" spans="1:7">
      <c r="A15" s="14" t="s">
        <v>18</v>
      </c>
      <c r="B15" s="12"/>
      <c r="C15" s="15">
        <f ca="1">(C7+C11)+(C8+C12)*INT(MAX(F21:F3533))</f>
        <v>53919.433202513363</v>
      </c>
      <c r="D15" s="16"/>
      <c r="E15" s="32" t="s">
        <v>40</v>
      </c>
      <c r="F15" s="34">
        <f ca="1">ROUND(2*($F$14-$C$7)/$C$8,0)/2+$F$13</f>
        <v>1989</v>
      </c>
    </row>
    <row r="16" spans="1:7">
      <c r="A16" s="17" t="s">
        <v>4</v>
      </c>
      <c r="B16" s="12"/>
      <c r="C16" s="18">
        <f ca="1">+C8+C12</f>
        <v>3.5207984461970243</v>
      </c>
      <c r="D16" s="16"/>
      <c r="E16" s="32" t="s">
        <v>33</v>
      </c>
      <c r="F16" s="34">
        <f ca="1">ROUND(2*($F$14-$C$15)/$C$16,0)/2+$F$13</f>
        <v>1876</v>
      </c>
    </row>
    <row r="17" spans="1:17" ht="13.5" thickBot="1">
      <c r="A17" s="16" t="s">
        <v>29</v>
      </c>
      <c r="B17" s="12"/>
      <c r="C17" s="12">
        <f>COUNT(C21:C2191)</f>
        <v>3</v>
      </c>
      <c r="D17" s="16"/>
      <c r="E17" s="35" t="s">
        <v>41</v>
      </c>
      <c r="F17" s="36">
        <f ca="1">+$C$15+$C$16*$F$16-15018.5-$C$9/24</f>
        <v>45506.346920912314</v>
      </c>
    </row>
    <row r="18" spans="1:17" ht="14.25" thickTop="1" thickBot="1">
      <c r="A18" s="17" t="s">
        <v>5</v>
      </c>
      <c r="B18" s="12"/>
      <c r="C18" s="19">
        <f ca="1">+C15</f>
        <v>53919.433202513363</v>
      </c>
      <c r="D18" s="20">
        <f ca="1">+C16</f>
        <v>3.5207984461970243</v>
      </c>
      <c r="E18" s="38" t="s">
        <v>42</v>
      </c>
      <c r="F18" s="37">
        <f ca="1">+($C$15+$C$16*$F$16)-($C$16/2)-15018.5-$C$9/24</f>
        <v>45504.586521689213</v>
      </c>
    </row>
    <row r="19" spans="1:17" ht="13.5" thickTop="1">
      <c r="A19" s="24" t="s">
        <v>34</v>
      </c>
      <c r="E19" s="25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45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0">
        <v>25330.55</v>
      </c>
      <c r="D21" s="10" t="s">
        <v>14</v>
      </c>
      <c r="E21">
        <f>+(C21-C$7)/C$8</f>
        <v>-8006.7653156863298</v>
      </c>
      <c r="F21">
        <f>ROUND(2*E21,0)/2</f>
        <v>-8007</v>
      </c>
      <c r="G21">
        <f>+C21-(C$7+F21*C$8)</f>
        <v>0.82630000000062864</v>
      </c>
      <c r="H21">
        <f>+G21</f>
        <v>0.82630000000062864</v>
      </c>
      <c r="O21">
        <f ca="1">+C$11+C$12*$F21</f>
        <v>0.82611939353256336</v>
      </c>
      <c r="Q21" s="2">
        <f>+C21-15018.5</f>
        <v>10312.049999999999</v>
      </c>
    </row>
    <row r="22" spans="1:17">
      <c r="A22" t="str">
        <f>$D$7</f>
        <v>VSX</v>
      </c>
      <c r="C22" s="10">
        <f>$C$7</f>
        <v>53521.57</v>
      </c>
      <c r="D22" s="10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1.2978093103453325E-2</v>
      </c>
      <c r="Q22" s="2">
        <f>+C22-15018.5</f>
        <v>38503.07</v>
      </c>
    </row>
    <row r="23" spans="1:17">
      <c r="A23" s="26" t="s">
        <v>36</v>
      </c>
      <c r="B23" s="27" t="s">
        <v>37</v>
      </c>
      <c r="C23" s="28">
        <v>53919.446000000004</v>
      </c>
      <c r="D23" s="28">
        <v>7.0000000000000001E-3</v>
      </c>
      <c r="E23">
        <f>+(C23-C$7)/C$8</f>
        <v>113.00406146155922</v>
      </c>
      <c r="F23">
        <f>ROUND(2*E23,0)/2</f>
        <v>113</v>
      </c>
      <c r="G23">
        <f>+C23-(C$7+F23*C$8)</f>
        <v>1.4300000002549496E-2</v>
      </c>
      <c r="J23">
        <f>+G23</f>
        <v>1.4300000002549496E-2</v>
      </c>
      <c r="O23">
        <f ca="1">+C$11+C$12*$F23</f>
        <v>1.5025133671614007E-3</v>
      </c>
      <c r="Q23" s="2">
        <f>+C23-15018.5</f>
        <v>38900.946000000004</v>
      </c>
    </row>
    <row r="24" spans="1:17">
      <c r="C24" s="10"/>
      <c r="D24" s="10"/>
      <c r="Q24" s="2"/>
    </row>
    <row r="25" spans="1:17">
      <c r="C25" s="10"/>
      <c r="D25" s="10"/>
      <c r="Q25" s="2"/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sortState xmlns:xlrd2="http://schemas.microsoft.com/office/spreadsheetml/2017/richdata2" ref="A21:S26">
    <sortCondition ref="C21:C2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2024-07-29T08:13:03Z</dcterms:modified>
</cp:coreProperties>
</file>