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EFF10B8-E18F-4C15-92B3-8AFD0E41E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44" i="1" l="1"/>
  <c r="F44" i="1" s="1"/>
  <c r="Q44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41" i="1"/>
  <c r="G15" i="2"/>
  <c r="C15" i="2"/>
  <c r="G16" i="2"/>
  <c r="C16" i="2"/>
  <c r="G17" i="2"/>
  <c r="C17" i="2"/>
  <c r="G18" i="2"/>
  <c r="C18" i="2"/>
  <c r="G19" i="2"/>
  <c r="C19" i="2"/>
  <c r="G20" i="2"/>
  <c r="C20" i="2"/>
  <c r="G21" i="2"/>
  <c r="C21" i="2"/>
  <c r="G22" i="2"/>
  <c r="C22" i="2"/>
  <c r="G23" i="2"/>
  <c r="C23" i="2"/>
  <c r="G24" i="2"/>
  <c r="C24" i="2"/>
  <c r="G25" i="2"/>
  <c r="C25" i="2"/>
  <c r="G26" i="2"/>
  <c r="C26" i="2"/>
  <c r="G27" i="2"/>
  <c r="C27" i="2"/>
  <c r="G28" i="2"/>
  <c r="C28" i="2"/>
  <c r="G29" i="2"/>
  <c r="C29" i="2"/>
  <c r="G30" i="2"/>
  <c r="C30" i="2"/>
  <c r="G11" i="2"/>
  <c r="C11" i="2"/>
  <c r="G12" i="2"/>
  <c r="C12" i="2"/>
  <c r="G31" i="2"/>
  <c r="C31" i="2"/>
  <c r="G13" i="2"/>
  <c r="C13" i="2"/>
  <c r="G14" i="2"/>
  <c r="C14" i="2"/>
  <c r="H13" i="2"/>
  <c r="D13" i="2"/>
  <c r="B13" i="2"/>
  <c r="A13" i="2"/>
  <c r="H31" i="2"/>
  <c r="D31" i="2"/>
  <c r="B31" i="2"/>
  <c r="A31" i="2"/>
  <c r="H12" i="2"/>
  <c r="D12" i="2"/>
  <c r="B12" i="2"/>
  <c r="A12" i="2"/>
  <c r="H11" i="2"/>
  <c r="D11" i="2"/>
  <c r="B11" i="2"/>
  <c r="A1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F11" i="1"/>
  <c r="Q43" i="1"/>
  <c r="Q42" i="1"/>
  <c r="G11" i="1"/>
  <c r="E14" i="1"/>
  <c r="E15" i="1" s="1"/>
  <c r="C17" i="1"/>
  <c r="Q38" i="1"/>
  <c r="Q40" i="1"/>
  <c r="Q39" i="1"/>
  <c r="E38" i="1"/>
  <c r="E11" i="2" s="1"/>
  <c r="F38" i="1"/>
  <c r="G38" i="1" s="1"/>
  <c r="K38" i="1" s="1"/>
  <c r="E41" i="1"/>
  <c r="F41" i="1" s="1"/>
  <c r="G41" i="1" s="1"/>
  <c r="K41" i="1" s="1"/>
  <c r="E40" i="1"/>
  <c r="E12" i="2" s="1"/>
  <c r="F40" i="1"/>
  <c r="G40" i="1" s="1"/>
  <c r="I40" i="1" s="1"/>
  <c r="E30" i="1"/>
  <c r="F30" i="1" s="1"/>
  <c r="G30" i="1" s="1"/>
  <c r="I30" i="1" s="1"/>
  <c r="E37" i="1"/>
  <c r="F37" i="1" s="1"/>
  <c r="G37" i="1" s="1"/>
  <c r="I37" i="1" s="1"/>
  <c r="E34" i="1"/>
  <c r="F34" i="1"/>
  <c r="G34" i="1" s="1"/>
  <c r="I34" i="1" s="1"/>
  <c r="E32" i="1"/>
  <c r="E25" i="2" s="1"/>
  <c r="F32" i="1"/>
  <c r="G32" i="1" s="1"/>
  <c r="I32" i="1" s="1"/>
  <c r="E22" i="1"/>
  <c r="F22" i="1" s="1"/>
  <c r="G22" i="1" s="1"/>
  <c r="I22" i="1" s="1"/>
  <c r="E24" i="1"/>
  <c r="E17" i="2" s="1"/>
  <c r="F24" i="1"/>
  <c r="G24" i="1" s="1"/>
  <c r="I24" i="1" s="1"/>
  <c r="E26" i="1"/>
  <c r="F26" i="1" s="1"/>
  <c r="G26" i="1" s="1"/>
  <c r="I26" i="1" s="1"/>
  <c r="E28" i="1"/>
  <c r="E21" i="2" s="1"/>
  <c r="F28" i="1"/>
  <c r="G28" i="1" s="1"/>
  <c r="I28" i="1" s="1"/>
  <c r="E35" i="1"/>
  <c r="F35" i="1" s="1"/>
  <c r="G35" i="1" s="1"/>
  <c r="I35" i="1" s="1"/>
  <c r="E43" i="1"/>
  <c r="E13" i="2" s="1"/>
  <c r="F43" i="1"/>
  <c r="R43" i="1" s="1"/>
  <c r="E42" i="1"/>
  <c r="F42" i="1"/>
  <c r="G42" i="1" s="1"/>
  <c r="K42" i="1" s="1"/>
  <c r="E39" i="1"/>
  <c r="F39" i="1"/>
  <c r="G39" i="1" s="1"/>
  <c r="K39" i="1" s="1"/>
  <c r="E36" i="1"/>
  <c r="F36" i="1" s="1"/>
  <c r="G36" i="1" s="1"/>
  <c r="I36" i="1" s="1"/>
  <c r="E33" i="1"/>
  <c r="F33" i="1"/>
  <c r="G33" i="1" s="1"/>
  <c r="I33" i="1" s="1"/>
  <c r="E31" i="1"/>
  <c r="F31" i="1"/>
  <c r="G31" i="1" s="1"/>
  <c r="I31" i="1" s="1"/>
  <c r="E21" i="1"/>
  <c r="F21" i="1" s="1"/>
  <c r="G21" i="1" s="1"/>
  <c r="I21" i="1" s="1"/>
  <c r="E23" i="1"/>
  <c r="F23" i="1" s="1"/>
  <c r="G23" i="1" s="1"/>
  <c r="I23" i="1" s="1"/>
  <c r="E25" i="1"/>
  <c r="E18" i="2" s="1"/>
  <c r="F25" i="1"/>
  <c r="G25" i="1" s="1"/>
  <c r="I25" i="1" s="1"/>
  <c r="E27" i="1"/>
  <c r="F27" i="1" s="1"/>
  <c r="G27" i="1" s="1"/>
  <c r="I27" i="1" s="1"/>
  <c r="E29" i="1"/>
  <c r="E22" i="2" s="1"/>
  <c r="F29" i="1"/>
  <c r="G29" i="1" s="1"/>
  <c r="I29" i="1" s="1"/>
  <c r="E30" i="2"/>
  <c r="E27" i="2"/>
  <c r="E24" i="2"/>
  <c r="E28" i="2"/>
  <c r="E23" i="2"/>
  <c r="E26" i="2"/>
  <c r="E31" i="2"/>
  <c r="E20" i="2"/>
  <c r="E15" i="2"/>
  <c r="E16" i="2"/>
  <c r="E19" i="2"/>
  <c r="G44" i="1" l="1"/>
  <c r="K44" i="1" s="1"/>
  <c r="R44" i="1"/>
  <c r="E29" i="2"/>
  <c r="E14" i="2"/>
  <c r="G43" i="1"/>
  <c r="C11" i="1"/>
  <c r="C12" i="1"/>
  <c r="C16" i="1" l="1"/>
  <c r="D18" i="1" s="1"/>
  <c r="O43" i="1"/>
  <c r="C15" i="1"/>
  <c r="C18" i="1" s="1"/>
  <c r="O39" i="1"/>
  <c r="O26" i="1"/>
  <c r="O42" i="1"/>
  <c r="O21" i="1"/>
  <c r="O30" i="1"/>
  <c r="O25" i="1"/>
  <c r="O40" i="1"/>
  <c r="O24" i="1"/>
  <c r="O41" i="1"/>
  <c r="O34" i="1"/>
  <c r="O23" i="1"/>
  <c r="O33" i="1"/>
  <c r="O29" i="1"/>
  <c r="O44" i="1"/>
  <c r="O32" i="1"/>
  <c r="O37" i="1"/>
  <c r="O28" i="1"/>
  <c r="O38" i="1"/>
  <c r="O27" i="1"/>
  <c r="O31" i="1"/>
  <c r="O22" i="1"/>
  <c r="O36" i="1"/>
  <c r="O35" i="1"/>
  <c r="J43" i="1"/>
  <c r="E16" i="1" l="1"/>
  <c r="E17" i="1" s="1"/>
</calcChain>
</file>

<file path=xl/sharedStrings.xml><?xml version="1.0" encoding="utf-8"?>
<sst xmlns="http://schemas.openxmlformats.org/spreadsheetml/2006/main" count="281" uniqueCount="145">
  <si>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</si>
  <si>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</si>
  <si>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</si>
  <si>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</si>
  <si>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</si>
  <si>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</si>
  <si>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</si>
  <si>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</si>
  <si>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</si>
  <si>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</si>
  <si>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</si>
  <si>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</si>
  <si>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</si>
  <si>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</si>
  <si>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</si>
  <si>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</si>
  <si>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</si>
  <si>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</si>
  <si>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</si>
  <si>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</si>
  <si>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</si>
  <si>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</si>
  <si>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</si>
  <si>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</si>
  <si>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</si>
  <si>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</si>
  <si>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</si>
  <si>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</si>
  <si>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</si>
  <si>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</si>
  <si>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</si>
  <si>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</si>
  <si>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</si>
  <si>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</si>
  <si>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</si>
  <si>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</si>
  <si>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</si>
  <si>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</si>
  <si>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OP Aql / GSC 1058-0287               </t>
  </si>
  <si>
    <t>EA/SD</t>
  </si>
  <si>
    <t>IBVS 5438</t>
  </si>
  <si>
    <t>OEJV 0074</t>
  </si>
  <si>
    <t>CCD</t>
  </si>
  <si>
    <t>OEJV 0137</t>
  </si>
  <si>
    <t>Add cycle</t>
  </si>
  <si>
    <t>Old Cycle</t>
  </si>
  <si>
    <t>IBVS 6084</t>
  </si>
  <si>
    <t>BAD?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</si>
  <si>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</si>
  <si>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</si>
  <si>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</si>
  <si>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</si>
  <si>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</si>
  <si>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</si>
  <si>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</si>
  <si>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</si>
  <si>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</si>
  <si>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</si>
  <si>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2429056.500 </t>
  </si>
  <si>
    <t> 07.06.1938 00:00 </t>
  </si>
  <si>
    <t> 0.289 </t>
  </si>
  <si>
    <t>P </t>
  </si>
  <si>
    <t> H.Gessner </t>
  </si>
  <si>
    <t> MVS 390 </t>
  </si>
  <si>
    <t>2429111.415 </t>
  </si>
  <si>
    <t> 31.07.1938 21:57 </t>
  </si>
  <si>
    <t> 0.331 </t>
  </si>
  <si>
    <t>2429195.276 </t>
  </si>
  <si>
    <t> 23.10.1938 18:37 </t>
  </si>
  <si>
    <t> 0.268 </t>
  </si>
  <si>
    <t>2429424.452 </t>
  </si>
  <si>
    <t> 09.06.1939 22:50 </t>
  </si>
  <si>
    <t> 0.269 </t>
  </si>
  <si>
    <t>2429876.374 </t>
  </si>
  <si>
    <t> 03.09.1940 20:58 </t>
  </si>
  <si>
    <t> 0.294 </t>
  </si>
  <si>
    <t>2429931.252 </t>
  </si>
  <si>
    <t> 28.10.1940 18:02 </t>
  </si>
  <si>
    <t> 0.299 </t>
  </si>
  <si>
    <t>2430147.491 </t>
  </si>
  <si>
    <t> 01.06.1941 23:47 </t>
  </si>
  <si>
    <t> 0.274 </t>
  </si>
  <si>
    <t>2430883.470 </t>
  </si>
  <si>
    <t> 07.06.1943 23:16 </t>
  </si>
  <si>
    <t> 0.307 </t>
  </si>
  <si>
    <t>2431238.492 </t>
  </si>
  <si>
    <t> 27.05.1944 23:48 </t>
  </si>
  <si>
    <t>2431322.416 </t>
  </si>
  <si>
    <t> 19.08.1944 21:59 </t>
  </si>
  <si>
    <t>2446612.491 </t>
  </si>
  <si>
    <t> 30.06.1986 23:47 </t>
  </si>
  <si>
    <t> 0.113 </t>
  </si>
  <si>
    <t>V </t>
  </si>
  <si>
    <t> V.Wagner </t>
  </si>
  <si>
    <t> BRNO 28 </t>
  </si>
  <si>
    <t>2446612.497 </t>
  </si>
  <si>
    <t> 30.06.1986 23:55 </t>
  </si>
  <si>
    <t> 0.119 </t>
  </si>
  <si>
    <t> M.Znojilova </t>
  </si>
  <si>
    <t>2448171.420 </t>
  </si>
  <si>
    <t> 06.10.1990 22:04 </t>
  </si>
  <si>
    <t> -0.000 </t>
  </si>
  <si>
    <t>E </t>
  </si>
  <si>
    <t>?</t>
  </si>
  <si>
    <t> A.Paschke </t>
  </si>
  <si>
    <t> BBS 97 </t>
  </si>
  <si>
    <t>2448442.54 </t>
  </si>
  <si>
    <t> 05.07.1991 00:57 </t>
  </si>
  <si>
    <t> -0.02 </t>
  </si>
  <si>
    <t> BBS 98 </t>
  </si>
  <si>
    <t>2448852.50 </t>
  </si>
  <si>
    <t> 18.08.1992 00:00 </t>
  </si>
  <si>
    <t> 0.01 </t>
  </si>
  <si>
    <t> BBS 102 </t>
  </si>
  <si>
    <t>2449220.463 </t>
  </si>
  <si>
    <t> 20.08.1993 23:06 </t>
  </si>
  <si>
    <t> -0.002 </t>
  </si>
  <si>
    <t> BBS 105 </t>
  </si>
  <si>
    <t>2449998.373 </t>
  </si>
  <si>
    <t> 07.10.1995 20:57 </t>
  </si>
  <si>
    <t> 0.001 </t>
  </si>
  <si>
    <t> BBS 111 </t>
  </si>
  <si>
    <t>2452054.49780 </t>
  </si>
  <si>
    <t> 24.05.2001 23:56 </t>
  </si>
  <si>
    <t> -0.00179 </t>
  </si>
  <si>
    <t>C </t>
  </si>
  <si>
    <t>o</t>
  </si>
  <si>
    <t> P.Hájek </t>
  </si>
  <si>
    <t>OEJV 0074 </t>
  </si>
  <si>
    <t>2452548.353 </t>
  </si>
  <si>
    <t> 30.09.2002 20:28 </t>
  </si>
  <si>
    <t> -0.005 </t>
  </si>
  <si>
    <t> BBS 129 </t>
  </si>
  <si>
    <t>2455369.4811 </t>
  </si>
  <si>
    <t> 21.06.2010 23:32 </t>
  </si>
  <si>
    <t> 0.0001 </t>
  </si>
  <si>
    <t> J.Trnka </t>
  </si>
  <si>
    <t>OEJV 0137 </t>
  </si>
  <si>
    <t>2456489.5506 </t>
  </si>
  <si>
    <t> 16.07.2013 01:12 </t>
  </si>
  <si>
    <t> 0.0126 </t>
  </si>
  <si>
    <t>-I</t>
  </si>
  <si>
    <t> F.Agerer </t>
  </si>
  <si>
    <t>BAVM 232 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</si>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</sst>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65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OP Aql - O-C Diagr.</a:t>
            </a:r>
          </a:p>
        </c:rich>
      </c:tx>
      <c:layout>
        <c:manualLayout>
          <c:xMode val="edge"/>
          <c:yMode val="edge"/>
          <c:x val="0.3898815773028371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4066865564061"/>
          <c:y val="0.14076246334310852"/>
          <c:w val="0.8229178625457219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7A-4075-91D7-129F8F0887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0.30887999999686144</c:v>
                </c:pt>
                <c:pt idx="1">
                  <c:v>0.35072749999744701</c:v>
                </c:pt>
                <c:pt idx="2">
                  <c:v>0.28808249999929103</c:v>
                </c:pt>
                <c:pt idx="3">
                  <c:v>0.28797499999927823</c:v>
                </c:pt>
                <c:pt idx="4">
                  <c:v>0.31342499999664142</c:v>
                </c:pt>
                <c:pt idx="5">
                  <c:v>0.31827249999696505</c:v>
                </c:pt>
                <c:pt idx="6">
                  <c:v>0.29249499999787076</c:v>
                </c:pt>
                <c:pt idx="7">
                  <c:v>0.32568499999979394</c:v>
                </c:pt>
                <c:pt idx="8">
                  <c:v>0.28610999999727937</c:v>
                </c:pt>
                <c:pt idx="9">
                  <c:v>0.28646499999740627</c:v>
                </c:pt>
                <c:pt idx="10">
                  <c:v>0.11891250000189757</c:v>
                </c:pt>
                <c:pt idx="11">
                  <c:v>0.12491250000311993</c:v>
                </c:pt>
                <c:pt idx="12">
                  <c:v>4.8149999929592013E-3</c:v>
                </c:pt>
                <c:pt idx="13">
                  <c:v>-1.3115000001562294E-2</c:v>
                </c:pt>
                <c:pt idx="14">
                  <c:v>1.2157500001194421E-2</c:v>
                </c:pt>
                <c:pt idx="15">
                  <c:v>2.2525000022142194E-3</c:v>
                </c:pt>
                <c:pt idx="16">
                  <c:v>4.6199999997043051E-3</c:v>
                </c:pt>
                <c:pt idx="19">
                  <c:v>-3.055000001040753E-3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7A-4075-91D7-129F8F0887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2">
                  <c:v>1.1062500001571607E-2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7A-4075-91D7-129F8F0887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7">
                  <c:v>1.1749999248422682E-4</c:v>
                </c:pt>
                <c:pt idx="18">
                  <c:v>0</c:v>
                </c:pt>
                <c:pt idx="20">
                  <c:v>-5.6000000768108293E-4</c:v>
                </c:pt>
                <c:pt idx="21">
                  <c:v>-4.7000000631669536E-4</c:v>
                </c:pt>
                <c:pt idx="23">
                  <c:v>-3.8500000664498657E-4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7A-4075-91D7-129F8F0887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7A-4075-91D7-129F8F0887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7A-4075-91D7-129F8F0887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7A-4075-91D7-129F8F0887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0.31109784556922571</c:v>
                </c:pt>
                <c:pt idx="1">
                  <c:v>0.31039739331040939</c:v>
                </c:pt>
                <c:pt idx="2">
                  <c:v>0.30932611338516103</c:v>
                </c:pt>
                <c:pt idx="3">
                  <c:v>0.30640069512775181</c:v>
                </c:pt>
                <c:pt idx="4">
                  <c:v>0.30063226476102956</c:v>
                </c:pt>
                <c:pt idx="5">
                  <c:v>0.29993181250221335</c:v>
                </c:pt>
                <c:pt idx="6">
                  <c:v>0.29717120654099627</c:v>
                </c:pt>
                <c:pt idx="7">
                  <c:v>0.28777690565804859</c:v>
                </c:pt>
                <c:pt idx="8">
                  <c:v>0.28324456751276672</c:v>
                </c:pt>
                <c:pt idx="9">
                  <c:v>0.28217328758751836</c:v>
                </c:pt>
                <c:pt idx="10">
                  <c:v>8.6994325822065816E-2</c:v>
                </c:pt>
                <c:pt idx="11">
                  <c:v>8.6994325822065816E-2</c:v>
                </c:pt>
                <c:pt idx="12">
                  <c:v>6.7093241056874003E-2</c:v>
                </c:pt>
                <c:pt idx="13">
                  <c:v>6.3632182836840662E-2</c:v>
                </c:pt>
                <c:pt idx="14">
                  <c:v>5.83993924327426E-2</c:v>
                </c:pt>
                <c:pt idx="15">
                  <c:v>5.3702241991268759E-2</c:v>
                </c:pt>
                <c:pt idx="16">
                  <c:v>4.3772301145696864E-2</c:v>
                </c:pt>
                <c:pt idx="17">
                  <c:v>1.7525942977110576E-2</c:v>
                </c:pt>
                <c:pt idx="18">
                  <c:v>1.1798715684436328E-2</c:v>
                </c:pt>
                <c:pt idx="19">
                  <c:v>1.1221872647764102E-2</c:v>
                </c:pt>
                <c:pt idx="20">
                  <c:v>-2.4789614070202019E-2</c:v>
                </c:pt>
                <c:pt idx="21">
                  <c:v>-2.4789614070202019E-2</c:v>
                </c:pt>
                <c:pt idx="22">
                  <c:v>-3.9087080764863627E-2</c:v>
                </c:pt>
                <c:pt idx="23">
                  <c:v>-8.1237825515984158E-2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7A-4075-91D7-129F8F0887A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Active!$R$21:$R$982</c:f>
              <c:numCache>
                <c:formatCode>General</c:formatCode>
                <c:ptCount val="962"/>
                <c:pt idx="19">
                  <c:v>-3.055000001040753E-3</c:v>
                </c:pt>
                <c:pt idx="22">
                  <c:v>1.1062500001571607E-2</c:v>
                </c:pt>
                <c:pt idx="23">
                  <c:v>-3.8500000664498657E-4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7A-4075-91D7-129F8F088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963272"/>
        <c:axId val="1"/>
      </c:scatterChart>
      <c:valAx>
        <c:axId val="521963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98400199974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07142857142856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963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33364579427571"/>
          <c:y val="0.92375366568914952"/>
          <c:w val="0.715774903137107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A1227FE-C372-22A1-DBE2-861BA5D83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23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6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9" customWidth="1"/>
    <col min="16" max="16" width="7.7109375" customWidth="1"/>
    <col min="17" max="17" width="11.85546875" customWidth="1"/>
  </cols>
  <sheetData>
    <row r="1" spans="1:8" ht="20.25" x14ac:dyDescent="0.3">
      <c r="A1" s="1" t="s">
        <v>38</v>
      </c>
      <c r="F1" s="3">
        <v>52503.166400000002</v>
      </c>
      <c r="G1" s="3">
        <v>3.2278324999999999</v>
      </c>
      <c r="H1" s="3" t="s">
        <v>39</v>
      </c>
    </row>
    <row r="2" spans="1:8" x14ac:dyDescent="0.2">
      <c r="A2" t="s">
        <v>22</v>
      </c>
      <c r="B2" t="s">
        <v>39</v>
      </c>
      <c r="C2" s="3"/>
      <c r="D2" s="3"/>
    </row>
    <row r="3" spans="1:8" ht="13.5" thickBot="1" x14ac:dyDescent="0.25"/>
    <row r="4" spans="1:8" ht="14.25" thickTop="1" thickBot="1" x14ac:dyDescent="0.25">
      <c r="A4" s="5" t="s">
        <v>37</v>
      </c>
      <c r="C4" s="8">
        <v>52503.166400000002</v>
      </c>
      <c r="D4" s="9">
        <v>3.2278324999999999</v>
      </c>
    </row>
    <row r="5" spans="1:8" x14ac:dyDescent="0.2">
      <c r="C5" s="31" t="s">
        <v>35</v>
      </c>
    </row>
    <row r="6" spans="1:8" x14ac:dyDescent="0.2">
      <c r="A6" s="5" t="s">
        <v>0</v>
      </c>
    </row>
    <row r="7" spans="1:8" x14ac:dyDescent="0.2">
      <c r="A7" t="s">
        <v>1</v>
      </c>
      <c r="C7">
        <v>52503.166400000002</v>
      </c>
    </row>
    <row r="8" spans="1:8" x14ac:dyDescent="0.2">
      <c r="A8" t="s">
        <v>2</v>
      </c>
      <c r="C8">
        <v>3.2278324999999999</v>
      </c>
      <c r="D8" s="30"/>
    </row>
    <row r="9" spans="1:8" x14ac:dyDescent="0.2">
      <c r="A9" s="11" t="s">
        <v>27</v>
      </c>
      <c r="B9" s="12"/>
      <c r="C9" s="13">
        <v>-9.5</v>
      </c>
      <c r="D9" s="12" t="s">
        <v>28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4">
        <f ca="1">INTERCEPT(INDIRECT($G$11):G992,INDIRECT($F$11):F992)</f>
        <v>1.1798715684436328E-2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x14ac:dyDescent="0.2">
      <c r="A12" s="12" t="s">
        <v>15</v>
      </c>
      <c r="B12" s="12"/>
      <c r="C12" s="24">
        <f ca="1">SLOPE(INDIRECT($G$11):G992,INDIRECT($F$11):F992)</f>
        <v>-4.1203074048016157E-5</v>
      </c>
      <c r="D12" s="3"/>
      <c r="E12" s="12"/>
    </row>
    <row r="13" spans="1:8" x14ac:dyDescent="0.2">
      <c r="A13" s="12" t="s">
        <v>17</v>
      </c>
      <c r="B13" s="12"/>
      <c r="C13" s="3" t="s">
        <v>12</v>
      </c>
      <c r="D13" s="16" t="s">
        <v>44</v>
      </c>
      <c r="E13" s="13">
        <v>1</v>
      </c>
    </row>
    <row r="14" spans="1:8" x14ac:dyDescent="0.2">
      <c r="A14" s="12"/>
      <c r="B14" s="12"/>
      <c r="C14" s="12"/>
      <c r="D14" s="16" t="s">
        <v>29</v>
      </c>
      <c r="E14" s="17">
        <f ca="1">NOW()+15018.5+$C$9/24</f>
        <v>60320.674988078703</v>
      </c>
    </row>
    <row r="15" spans="1:8" x14ac:dyDescent="0.2">
      <c r="A15" s="14" t="s">
        <v>16</v>
      </c>
      <c r="B15" s="12"/>
      <c r="C15" s="15">
        <f ca="1">(C7+C11)+(C8+C12)*INT(MAX(F21:F3533))</f>
        <v>59791.530947174484</v>
      </c>
      <c r="D15" s="16" t="s">
        <v>45</v>
      </c>
      <c r="E15" s="17">
        <f ca="1">ROUND(2*(E14-$C$7)/$C$8,0)/2+E13</f>
        <v>2423</v>
      </c>
    </row>
    <row r="16" spans="1:8" x14ac:dyDescent="0.2">
      <c r="A16" s="18" t="s">
        <v>3</v>
      </c>
      <c r="B16" s="12"/>
      <c r="C16" s="19">
        <f ca="1">+C8+C12</f>
        <v>3.2277912969259517</v>
      </c>
      <c r="D16" s="16" t="s">
        <v>30</v>
      </c>
      <c r="E16" s="26">
        <f ca="1">ROUND(2*(E14-$C$15)/$C$16,0)/2+E13</f>
        <v>165</v>
      </c>
    </row>
    <row r="17" spans="1:18" ht="13.5" thickBot="1" x14ac:dyDescent="0.25">
      <c r="A17" s="16" t="s">
        <v>26</v>
      </c>
      <c r="B17" s="12"/>
      <c r="C17" s="12">
        <f>COUNT(C21:C2191)</f>
        <v>24</v>
      </c>
      <c r="D17" s="16" t="s">
        <v>31</v>
      </c>
      <c r="E17" s="20">
        <f ca="1">+$C$15+$C$16*E16-15018.5-$C$9/24</f>
        <v>45306.012344500603</v>
      </c>
    </row>
    <row r="18" spans="1:18" ht="14.25" thickTop="1" thickBot="1" x14ac:dyDescent="0.25">
      <c r="A18" s="18" t="s">
        <v>4</v>
      </c>
      <c r="B18" s="12"/>
      <c r="C18" s="21">
        <f ca="1">+C15</f>
        <v>59791.530947174484</v>
      </c>
      <c r="D18" s="22">
        <f ca="1">+C16</f>
        <v>3.2277912969259517</v>
      </c>
      <c r="E18" s="23" t="s">
        <v>32</v>
      </c>
    </row>
    <row r="19" spans="1:18" ht="13.5" thickTop="1" x14ac:dyDescent="0.2">
      <c r="A19" s="27" t="s">
        <v>33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54</v>
      </c>
      <c r="I20" s="7" t="s">
        <v>57</v>
      </c>
      <c r="J20" s="7" t="s">
        <v>51</v>
      </c>
      <c r="K20" s="7" t="s">
        <v>42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R20" s="39" t="s">
        <v>47</v>
      </c>
    </row>
    <row r="21" spans="1:18" x14ac:dyDescent="0.2">
      <c r="A21" s="26" t="s">
        <v>63</v>
      </c>
      <c r="B21" s="3" t="s">
        <v>34</v>
      </c>
      <c r="C21" s="10">
        <v>29056.5</v>
      </c>
      <c r="D21" s="10" t="s">
        <v>57</v>
      </c>
      <c r="E21">
        <f t="shared" ref="E21:E43" si="0">+(C21-C$7)/C$8</f>
        <v>-7263.9043073021921</v>
      </c>
      <c r="F21">
        <f t="shared" ref="F21:F43" si="1">ROUND(2*E21,0)/2</f>
        <v>-7264</v>
      </c>
      <c r="G21">
        <f t="shared" ref="G21:G43" si="2">+C21-(C$7+F21*C$8)</f>
        <v>0.30887999999686144</v>
      </c>
      <c r="I21">
        <f t="shared" ref="I21:I37" si="3">G21</f>
        <v>0.30887999999686144</v>
      </c>
      <c r="O21">
        <f t="shared" ref="O21:O43" ca="1" si="4">+C$11+C$12*$F21</f>
        <v>0.31109784556922571</v>
      </c>
      <c r="Q21" s="2">
        <f t="shared" ref="Q21:Q43" si="5">+C21-15018.5</f>
        <v>14038</v>
      </c>
    </row>
    <row r="22" spans="1:18" x14ac:dyDescent="0.2">
      <c r="A22" s="26" t="s">
        <v>63</v>
      </c>
      <c r="B22" s="3" t="s">
        <v>34</v>
      </c>
      <c r="C22" s="10">
        <v>29111.415000000001</v>
      </c>
      <c r="D22" s="10" t="s">
        <v>57</v>
      </c>
      <c r="E22">
        <f t="shared" si="0"/>
        <v>-7246.8913427199213</v>
      </c>
      <c r="F22">
        <f t="shared" si="1"/>
        <v>-7247</v>
      </c>
      <c r="G22">
        <f t="shared" si="2"/>
        <v>0.35072749999744701</v>
      </c>
      <c r="I22">
        <f t="shared" si="3"/>
        <v>0.35072749999744701</v>
      </c>
      <c r="O22">
        <f t="shared" ca="1" si="4"/>
        <v>0.31039739331040939</v>
      </c>
      <c r="Q22" s="2">
        <f t="shared" si="5"/>
        <v>14092.915000000001</v>
      </c>
    </row>
    <row r="23" spans="1:18" x14ac:dyDescent="0.2">
      <c r="A23" s="26" t="s">
        <v>63</v>
      </c>
      <c r="B23" s="3" t="s">
        <v>34</v>
      </c>
      <c r="C23" s="10">
        <v>29195.276000000002</v>
      </c>
      <c r="D23" s="10" t="s">
        <v>57</v>
      </c>
      <c r="E23">
        <f t="shared" si="0"/>
        <v>-7220.9107504803924</v>
      </c>
      <c r="F23">
        <f t="shared" si="1"/>
        <v>-7221</v>
      </c>
      <c r="G23">
        <f t="shared" si="2"/>
        <v>0.28808249999929103</v>
      </c>
      <c r="I23">
        <f t="shared" si="3"/>
        <v>0.28808249999929103</v>
      </c>
      <c r="O23">
        <f t="shared" ca="1" si="4"/>
        <v>0.30932611338516103</v>
      </c>
      <c r="Q23" s="2">
        <f t="shared" si="5"/>
        <v>14176.776000000002</v>
      </c>
    </row>
    <row r="24" spans="1:18" x14ac:dyDescent="0.2">
      <c r="A24" s="26" t="s">
        <v>63</v>
      </c>
      <c r="B24" s="3" t="s">
        <v>34</v>
      </c>
      <c r="C24" s="10">
        <v>29424.452000000001</v>
      </c>
      <c r="D24" s="10" t="s">
        <v>57</v>
      </c>
      <c r="E24">
        <f t="shared" si="0"/>
        <v>-7149.9107837844749</v>
      </c>
      <c r="F24">
        <f t="shared" si="1"/>
        <v>-7150</v>
      </c>
      <c r="G24">
        <f t="shared" si="2"/>
        <v>0.28797499999927823</v>
      </c>
      <c r="I24">
        <f t="shared" si="3"/>
        <v>0.28797499999927823</v>
      </c>
      <c r="O24">
        <f t="shared" ca="1" si="4"/>
        <v>0.30640069512775181</v>
      </c>
      <c r="Q24" s="2">
        <f t="shared" si="5"/>
        <v>14405.952000000001</v>
      </c>
    </row>
    <row r="25" spans="1:18" x14ac:dyDescent="0.2">
      <c r="A25" s="26" t="s">
        <v>63</v>
      </c>
      <c r="B25" s="3" t="s">
        <v>34</v>
      </c>
      <c r="C25" s="10">
        <v>29876.374</v>
      </c>
      <c r="D25" s="10" t="s">
        <v>57</v>
      </c>
      <c r="E25">
        <f t="shared" si="0"/>
        <v>-7009.9028992365629</v>
      </c>
      <c r="F25">
        <f t="shared" si="1"/>
        <v>-7010</v>
      </c>
      <c r="G25">
        <f t="shared" si="2"/>
        <v>0.31342499999664142</v>
      </c>
      <c r="I25">
        <f t="shared" si="3"/>
        <v>0.31342499999664142</v>
      </c>
      <c r="O25">
        <f t="shared" ca="1" si="4"/>
        <v>0.30063226476102956</v>
      </c>
      <c r="Q25" s="2">
        <f t="shared" si="5"/>
        <v>14857.874</v>
      </c>
    </row>
    <row r="26" spans="1:18" x14ac:dyDescent="0.2">
      <c r="A26" s="26" t="s">
        <v>63</v>
      </c>
      <c r="B26" s="3" t="s">
        <v>34</v>
      </c>
      <c r="C26" s="10">
        <v>29931.252</v>
      </c>
      <c r="D26" s="10" t="s">
        <v>57</v>
      </c>
      <c r="E26">
        <f t="shared" si="0"/>
        <v>-6992.9013974547943</v>
      </c>
      <c r="F26">
        <f t="shared" si="1"/>
        <v>-6993</v>
      </c>
      <c r="G26">
        <f t="shared" si="2"/>
        <v>0.31827249999696505</v>
      </c>
      <c r="I26">
        <f t="shared" si="3"/>
        <v>0.31827249999696505</v>
      </c>
      <c r="O26">
        <f t="shared" ca="1" si="4"/>
        <v>0.29993181250221335</v>
      </c>
      <c r="Q26" s="2">
        <f t="shared" si="5"/>
        <v>14912.752</v>
      </c>
    </row>
    <row r="27" spans="1:18" x14ac:dyDescent="0.2">
      <c r="A27" s="26" t="s">
        <v>63</v>
      </c>
      <c r="B27" s="3" t="s">
        <v>34</v>
      </c>
      <c r="C27" s="10">
        <v>30147.491000000002</v>
      </c>
      <c r="D27" s="10" t="s">
        <v>57</v>
      </c>
      <c r="E27">
        <f t="shared" si="0"/>
        <v>-6925.9093834639807</v>
      </c>
      <c r="F27">
        <f t="shared" si="1"/>
        <v>-6926</v>
      </c>
      <c r="G27">
        <f t="shared" si="2"/>
        <v>0.29249499999787076</v>
      </c>
      <c r="I27">
        <f t="shared" si="3"/>
        <v>0.29249499999787076</v>
      </c>
      <c r="O27">
        <f t="shared" ca="1" si="4"/>
        <v>0.29717120654099627</v>
      </c>
      <c r="Q27" s="2">
        <f t="shared" si="5"/>
        <v>15128.991000000002</v>
      </c>
    </row>
    <row r="28" spans="1:18" x14ac:dyDescent="0.2">
      <c r="A28" s="26" t="s">
        <v>63</v>
      </c>
      <c r="B28" s="3" t="s">
        <v>34</v>
      </c>
      <c r="C28" s="10">
        <v>30883.47</v>
      </c>
      <c r="D28" s="10" t="s">
        <v>57</v>
      </c>
      <c r="E28">
        <f t="shared" si="0"/>
        <v>-6697.8991010221262</v>
      </c>
      <c r="F28">
        <f t="shared" si="1"/>
        <v>-6698</v>
      </c>
      <c r="G28">
        <f t="shared" si="2"/>
        <v>0.32568499999979394</v>
      </c>
      <c r="I28">
        <f t="shared" si="3"/>
        <v>0.32568499999979394</v>
      </c>
      <c r="O28">
        <f t="shared" ca="1" si="4"/>
        <v>0.28777690565804859</v>
      </c>
      <c r="Q28" s="2">
        <f t="shared" si="5"/>
        <v>15864.970000000001</v>
      </c>
    </row>
    <row r="29" spans="1:18" x14ac:dyDescent="0.2">
      <c r="A29" s="26" t="s">
        <v>63</v>
      </c>
      <c r="B29" s="3" t="s">
        <v>34</v>
      </c>
      <c r="C29" s="10">
        <v>31238.491999999998</v>
      </c>
      <c r="D29" s="10" t="s">
        <v>57</v>
      </c>
      <c r="E29">
        <f t="shared" si="0"/>
        <v>-6587.9113615715823</v>
      </c>
      <c r="F29">
        <f t="shared" si="1"/>
        <v>-6588</v>
      </c>
      <c r="G29">
        <f t="shared" si="2"/>
        <v>0.28610999999727937</v>
      </c>
      <c r="I29">
        <f t="shared" si="3"/>
        <v>0.28610999999727937</v>
      </c>
      <c r="O29">
        <f t="shared" ca="1" si="4"/>
        <v>0.28324456751276672</v>
      </c>
      <c r="Q29" s="2">
        <f t="shared" si="5"/>
        <v>16219.991999999998</v>
      </c>
    </row>
    <row r="30" spans="1:18" x14ac:dyDescent="0.2">
      <c r="A30" s="26" t="s">
        <v>63</v>
      </c>
      <c r="B30" s="3" t="s">
        <v>34</v>
      </c>
      <c r="C30" s="10">
        <v>31322.416000000001</v>
      </c>
      <c r="D30" s="10" t="s">
        <v>57</v>
      </c>
      <c r="E30">
        <f t="shared" si="0"/>
        <v>-6561.9112515906581</v>
      </c>
      <c r="F30">
        <f t="shared" si="1"/>
        <v>-6562</v>
      </c>
      <c r="G30">
        <f t="shared" si="2"/>
        <v>0.28646499999740627</v>
      </c>
      <c r="I30">
        <f t="shared" si="3"/>
        <v>0.28646499999740627</v>
      </c>
      <c r="O30">
        <f t="shared" ca="1" si="4"/>
        <v>0.28217328758751836</v>
      </c>
      <c r="Q30" s="2">
        <f t="shared" si="5"/>
        <v>16303.916000000001</v>
      </c>
    </row>
    <row r="31" spans="1:18" x14ac:dyDescent="0.2">
      <c r="A31" s="26" t="s">
        <v>94</v>
      </c>
      <c r="B31" s="3" t="s">
        <v>34</v>
      </c>
      <c r="C31" s="10">
        <v>46612.491000000002</v>
      </c>
      <c r="D31" s="10" t="s">
        <v>57</v>
      </c>
      <c r="E31">
        <f t="shared" si="0"/>
        <v>-1824.9631602631177</v>
      </c>
      <c r="F31">
        <f t="shared" si="1"/>
        <v>-1825</v>
      </c>
      <c r="G31">
        <f t="shared" si="2"/>
        <v>0.11891250000189757</v>
      </c>
      <c r="I31">
        <f t="shared" si="3"/>
        <v>0.11891250000189757</v>
      </c>
      <c r="O31">
        <f t="shared" ca="1" si="4"/>
        <v>8.6994325822065816E-2</v>
      </c>
      <c r="Q31" s="2">
        <f t="shared" si="5"/>
        <v>31593.991000000002</v>
      </c>
    </row>
    <row r="32" spans="1:18" x14ac:dyDescent="0.2">
      <c r="A32" s="26" t="s">
        <v>94</v>
      </c>
      <c r="B32" s="3" t="s">
        <v>34</v>
      </c>
      <c r="C32" s="10">
        <v>46612.497000000003</v>
      </c>
      <c r="D32" s="10" t="s">
        <v>57</v>
      </c>
      <c r="E32">
        <f t="shared" si="0"/>
        <v>-1824.9613014306037</v>
      </c>
      <c r="F32">
        <f t="shared" si="1"/>
        <v>-1825</v>
      </c>
      <c r="G32">
        <f t="shared" si="2"/>
        <v>0.12491250000311993</v>
      </c>
      <c r="I32">
        <f t="shared" si="3"/>
        <v>0.12491250000311993</v>
      </c>
      <c r="O32">
        <f t="shared" ca="1" si="4"/>
        <v>8.6994325822065816E-2</v>
      </c>
      <c r="Q32" s="2">
        <f t="shared" si="5"/>
        <v>31593.997000000003</v>
      </c>
    </row>
    <row r="33" spans="1:18" x14ac:dyDescent="0.2">
      <c r="A33" s="26" t="s">
        <v>105</v>
      </c>
      <c r="B33" s="3" t="s">
        <v>34</v>
      </c>
      <c r="C33" s="10">
        <v>48171.42</v>
      </c>
      <c r="D33" s="10" t="s">
        <v>57</v>
      </c>
      <c r="E33">
        <f t="shared" si="0"/>
        <v>-1341.9985082869089</v>
      </c>
      <c r="F33">
        <f t="shared" si="1"/>
        <v>-1342</v>
      </c>
      <c r="G33">
        <f t="shared" si="2"/>
        <v>4.8149999929592013E-3</v>
      </c>
      <c r="I33">
        <f t="shared" si="3"/>
        <v>4.8149999929592013E-3</v>
      </c>
      <c r="O33">
        <f t="shared" ca="1" si="4"/>
        <v>6.7093241056874003E-2</v>
      </c>
      <c r="Q33" s="2">
        <f t="shared" si="5"/>
        <v>33152.92</v>
      </c>
    </row>
    <row r="34" spans="1:18" x14ac:dyDescent="0.2">
      <c r="A34" s="26" t="s">
        <v>109</v>
      </c>
      <c r="B34" s="3" t="s">
        <v>34</v>
      </c>
      <c r="C34" s="10">
        <v>48442.54</v>
      </c>
      <c r="D34" s="10" t="s">
        <v>57</v>
      </c>
      <c r="E34">
        <f t="shared" si="0"/>
        <v>-1258.00406309807</v>
      </c>
      <c r="F34">
        <f t="shared" si="1"/>
        <v>-1258</v>
      </c>
      <c r="G34">
        <f t="shared" si="2"/>
        <v>-1.3115000001562294E-2</v>
      </c>
      <c r="I34">
        <f t="shared" si="3"/>
        <v>-1.3115000001562294E-2</v>
      </c>
      <c r="O34">
        <f t="shared" ca="1" si="4"/>
        <v>6.3632182836840662E-2</v>
      </c>
      <c r="Q34" s="2">
        <f t="shared" si="5"/>
        <v>33424.04</v>
      </c>
    </row>
    <row r="35" spans="1:18" x14ac:dyDescent="0.2">
      <c r="A35" s="26" t="s">
        <v>113</v>
      </c>
      <c r="B35" s="3" t="s">
        <v>34</v>
      </c>
      <c r="C35" s="10">
        <v>48852.5</v>
      </c>
      <c r="D35" s="10" t="s">
        <v>57</v>
      </c>
      <c r="E35">
        <f t="shared" si="0"/>
        <v>-1130.9962335406196</v>
      </c>
      <c r="F35">
        <f t="shared" si="1"/>
        <v>-1131</v>
      </c>
      <c r="G35">
        <f t="shared" si="2"/>
        <v>1.2157500001194421E-2</v>
      </c>
      <c r="I35">
        <f t="shared" si="3"/>
        <v>1.2157500001194421E-2</v>
      </c>
      <c r="O35">
        <f t="shared" ca="1" si="4"/>
        <v>5.83993924327426E-2</v>
      </c>
      <c r="Q35" s="2">
        <f t="shared" si="5"/>
        <v>33834</v>
      </c>
    </row>
    <row r="36" spans="1:18" x14ac:dyDescent="0.2">
      <c r="A36" s="26" t="s">
        <v>117</v>
      </c>
      <c r="B36" s="3" t="s">
        <v>34</v>
      </c>
      <c r="C36" s="10">
        <v>49220.463000000003</v>
      </c>
      <c r="D36" s="10" t="s">
        <v>57</v>
      </c>
      <c r="E36">
        <f t="shared" si="0"/>
        <v>-1016.9993021632934</v>
      </c>
      <c r="F36">
        <f t="shared" si="1"/>
        <v>-1017</v>
      </c>
      <c r="G36">
        <f t="shared" si="2"/>
        <v>2.2525000022142194E-3</v>
      </c>
      <c r="I36">
        <f t="shared" si="3"/>
        <v>2.2525000022142194E-3</v>
      </c>
      <c r="O36">
        <f t="shared" ca="1" si="4"/>
        <v>5.3702241991268759E-2</v>
      </c>
      <c r="Q36" s="2">
        <f t="shared" si="5"/>
        <v>34201.963000000003</v>
      </c>
    </row>
    <row r="37" spans="1:18" x14ac:dyDescent="0.2">
      <c r="A37" s="26" t="s">
        <v>121</v>
      </c>
      <c r="B37" s="3" t="s">
        <v>34</v>
      </c>
      <c r="C37" s="10">
        <v>49998.373</v>
      </c>
      <c r="D37" s="10" t="s">
        <v>57</v>
      </c>
      <c r="E37">
        <f t="shared" si="0"/>
        <v>-775.99856869896519</v>
      </c>
      <c r="F37">
        <f t="shared" si="1"/>
        <v>-776</v>
      </c>
      <c r="G37">
        <f t="shared" si="2"/>
        <v>4.6199999997043051E-3</v>
      </c>
      <c r="I37">
        <f t="shared" si="3"/>
        <v>4.6199999997043051E-3</v>
      </c>
      <c r="O37">
        <f t="shared" ca="1" si="4"/>
        <v>4.3772301145696864E-2</v>
      </c>
      <c r="Q37" s="2">
        <f t="shared" si="5"/>
        <v>34979.873</v>
      </c>
    </row>
    <row r="38" spans="1:18" x14ac:dyDescent="0.2">
      <c r="A38" s="34" t="s">
        <v>41</v>
      </c>
      <c r="B38" s="32" t="s">
        <v>34</v>
      </c>
      <c r="C38" s="33">
        <v>52054.497799999997</v>
      </c>
      <c r="D38" s="33" t="s">
        <v>42</v>
      </c>
      <c r="E38">
        <f t="shared" si="0"/>
        <v>-138.99996359786468</v>
      </c>
      <c r="F38">
        <f t="shared" si="1"/>
        <v>-139</v>
      </c>
      <c r="G38">
        <f t="shared" si="2"/>
        <v>1.1749999248422682E-4</v>
      </c>
      <c r="K38">
        <f>G38</f>
        <v>1.1749999248422682E-4</v>
      </c>
      <c r="O38">
        <f t="shared" ca="1" si="4"/>
        <v>1.7525942977110576E-2</v>
      </c>
      <c r="Q38" s="2">
        <f t="shared" si="5"/>
        <v>37035.997799999997</v>
      </c>
    </row>
    <row r="39" spans="1:18" x14ac:dyDescent="0.2">
      <c r="A39" s="33" t="s">
        <v>36</v>
      </c>
      <c r="B39" s="32" t="s">
        <v>34</v>
      </c>
      <c r="C39" s="33">
        <v>52503.166400000002</v>
      </c>
      <c r="D39" s="29"/>
      <c r="E39">
        <f t="shared" si="0"/>
        <v>0</v>
      </c>
      <c r="F39">
        <f t="shared" si="1"/>
        <v>0</v>
      </c>
      <c r="G39">
        <f t="shared" si="2"/>
        <v>0</v>
      </c>
      <c r="K39">
        <f>G39</f>
        <v>0</v>
      </c>
      <c r="O39">
        <f t="shared" ca="1" si="4"/>
        <v>1.1798715684436328E-2</v>
      </c>
      <c r="Q39" s="2">
        <f t="shared" si="5"/>
        <v>37484.666400000002</v>
      </c>
    </row>
    <row r="40" spans="1:18" ht="12" customHeight="1" x14ac:dyDescent="0.2">
      <c r="A40" s="33" t="s">
        <v>40</v>
      </c>
      <c r="B40" s="32" t="s">
        <v>34</v>
      </c>
      <c r="C40" s="33">
        <v>52548.353000000003</v>
      </c>
      <c r="D40" s="33">
        <v>5.0000000000000001E-3</v>
      </c>
      <c r="E40">
        <f t="shared" si="0"/>
        <v>13.999053544445355</v>
      </c>
      <c r="F40">
        <f t="shared" si="1"/>
        <v>14</v>
      </c>
      <c r="G40">
        <f t="shared" si="2"/>
        <v>-3.055000001040753E-3</v>
      </c>
      <c r="I40">
        <f>G40</f>
        <v>-3.055000001040753E-3</v>
      </c>
      <c r="O40">
        <f t="shared" ca="1" si="4"/>
        <v>1.1221872647764102E-2</v>
      </c>
      <c r="Q40" s="2">
        <f t="shared" si="5"/>
        <v>37529.853000000003</v>
      </c>
      <c r="R40" s="26">
        <v>-3.055000001040753E-3</v>
      </c>
    </row>
    <row r="41" spans="1:18" ht="12" customHeight="1" x14ac:dyDescent="0.2">
      <c r="A41" s="26" t="s">
        <v>137</v>
      </c>
      <c r="B41" s="3" t="s">
        <v>34</v>
      </c>
      <c r="C41" s="10">
        <v>55369.481099999997</v>
      </c>
      <c r="D41" s="10" t="s">
        <v>57</v>
      </c>
      <c r="E41">
        <f t="shared" si="0"/>
        <v>887.99982650896402</v>
      </c>
      <c r="F41">
        <f t="shared" si="1"/>
        <v>888</v>
      </c>
      <c r="G41">
        <f t="shared" si="2"/>
        <v>-5.6000000768108293E-4</v>
      </c>
      <c r="K41">
        <f>G41</f>
        <v>-5.6000000768108293E-4</v>
      </c>
      <c r="O41">
        <f t="shared" ca="1" si="4"/>
        <v>-2.4789614070202019E-2</v>
      </c>
      <c r="Q41" s="2">
        <f t="shared" si="5"/>
        <v>40350.981099999997</v>
      </c>
    </row>
    <row r="42" spans="1:18" ht="12" customHeight="1" x14ac:dyDescent="0.2">
      <c r="A42" s="35" t="s">
        <v>43</v>
      </c>
      <c r="B42" s="36" t="s">
        <v>34</v>
      </c>
      <c r="C42" s="35">
        <v>55369.481189999999</v>
      </c>
      <c r="D42" s="35">
        <v>5.9999999999999995E-4</v>
      </c>
      <c r="E42">
        <f t="shared" si="0"/>
        <v>887.99985439145212</v>
      </c>
      <c r="F42">
        <f t="shared" si="1"/>
        <v>888</v>
      </c>
      <c r="G42">
        <f t="shared" si="2"/>
        <v>-4.7000000631669536E-4</v>
      </c>
      <c r="K42">
        <f>G42</f>
        <v>-4.7000000631669536E-4</v>
      </c>
      <c r="O42">
        <f t="shared" ca="1" si="4"/>
        <v>-2.4789614070202019E-2</v>
      </c>
      <c r="Q42" s="2">
        <f t="shared" si="5"/>
        <v>40350.981189999999</v>
      </c>
    </row>
    <row r="43" spans="1:18" ht="12" customHeight="1" x14ac:dyDescent="0.2">
      <c r="A43" s="37" t="s">
        <v>46</v>
      </c>
      <c r="B43" s="38" t="s">
        <v>34</v>
      </c>
      <c r="C43" s="37">
        <v>56489.550600000002</v>
      </c>
      <c r="D43" s="37">
        <v>1.1000000000000001E-3</v>
      </c>
      <c r="E43">
        <f t="shared" si="0"/>
        <v>1235.0034272224475</v>
      </c>
      <c r="F43">
        <f t="shared" si="1"/>
        <v>1235</v>
      </c>
      <c r="G43">
        <f t="shared" si="2"/>
        <v>1.1062500001571607E-2</v>
      </c>
      <c r="J43">
        <f>G43</f>
        <v>1.1062500001571607E-2</v>
      </c>
      <c r="O43">
        <f t="shared" ca="1" si="4"/>
        <v>-3.9087080764863627E-2</v>
      </c>
      <c r="Q43" s="2">
        <f t="shared" si="5"/>
        <v>41471.050600000002</v>
      </c>
      <c r="R43">
        <f>+C43-(C$7+F43*C$8)</f>
        <v>1.1062500001571607E-2</v>
      </c>
    </row>
    <row r="44" spans="1:18" ht="12" customHeight="1" x14ac:dyDescent="0.2">
      <c r="A44" s="53" t="s">
        <v>144</v>
      </c>
      <c r="B44" s="54" t="s">
        <v>34</v>
      </c>
      <c r="C44" s="55">
        <v>59791.611799999999</v>
      </c>
      <c r="D44" s="56">
        <v>2.9999999999999997E-4</v>
      </c>
      <c r="E44">
        <f t="shared" ref="E44" si="6">+(C44-C$7)/C$8</f>
        <v>2257.9998807249126</v>
      </c>
      <c r="F44">
        <f t="shared" ref="F44" si="7">ROUND(2*E44,0)/2</f>
        <v>2258</v>
      </c>
      <c r="G44">
        <f t="shared" ref="G44" si="8">+C44-(C$7+F44*C$8)</f>
        <v>-3.8500000664498657E-4</v>
      </c>
      <c r="K44">
        <f>G44</f>
        <v>-3.8500000664498657E-4</v>
      </c>
      <c r="O44">
        <f t="shared" ref="O44" ca="1" si="9">+C$11+C$12*$F44</f>
        <v>-8.1237825515984158E-2</v>
      </c>
      <c r="Q44" s="2">
        <f t="shared" ref="Q44" si="10">+C44-15018.5</f>
        <v>44773.111799999999</v>
      </c>
      <c r="R44">
        <f>+C44-(C$7+F44*C$8)</f>
        <v>-3.8500000664498657E-4</v>
      </c>
    </row>
    <row r="45" spans="1:18" ht="12" customHeight="1" x14ac:dyDescent="0.2">
      <c r="C45" s="10"/>
      <c r="D45" s="10"/>
    </row>
    <row r="46" spans="1:18" ht="12" customHeight="1" x14ac:dyDescent="0.2">
      <c r="C46" s="10"/>
      <c r="D46" s="10"/>
    </row>
    <row r="47" spans="1:18" x14ac:dyDescent="0.2">
      <c r="C47" s="10"/>
      <c r="D47" s="10"/>
    </row>
    <row r="48" spans="1:18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93"/>
  <sheetViews>
    <sheetView workbookViewId="0">
      <selection activeCell="A14" sqref="A14:D3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0" t="s">
        <v>48</v>
      </c>
      <c r="I1" s="41" t="s">
        <v>49</v>
      </c>
      <c r="J1" s="42" t="s">
        <v>42</v>
      </c>
    </row>
    <row r="2" spans="1:16" x14ac:dyDescent="0.2">
      <c r="I2" s="43" t="s">
        <v>50</v>
      </c>
      <c r="J2" s="44" t="s">
        <v>51</v>
      </c>
    </row>
    <row r="3" spans="1:16" x14ac:dyDescent="0.2">
      <c r="A3" s="45" t="s">
        <v>52</v>
      </c>
      <c r="I3" s="43" t="s">
        <v>53</v>
      </c>
      <c r="J3" s="44" t="s">
        <v>54</v>
      </c>
    </row>
    <row r="4" spans="1:16" x14ac:dyDescent="0.2">
      <c r="I4" s="43" t="s">
        <v>55</v>
      </c>
      <c r="J4" s="44" t="s">
        <v>54</v>
      </c>
    </row>
    <row r="5" spans="1:16" ht="13.5" thickBot="1" x14ac:dyDescent="0.25">
      <c r="I5" s="46" t="s">
        <v>56</v>
      </c>
      <c r="J5" s="47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31" si="0">P11</f>
        <v>OEJV 0074 </v>
      </c>
      <c r="B11" s="3" t="str">
        <f t="shared" ref="B11:B31" si="1">IF(H11=INT(H11),"I","II")</f>
        <v>I</v>
      </c>
      <c r="C11" s="10">
        <f t="shared" ref="C11:C31" si="2">1*G11</f>
        <v>52054.497799999997</v>
      </c>
      <c r="D11" s="12" t="str">
        <f t="shared" ref="D11:D31" si="3">VLOOKUP(F11,I$1:J$5,2,FALSE)</f>
        <v>vis</v>
      </c>
      <c r="E11" s="48">
        <f>VLOOKUP(C11,Active!C$21:E$973,3,FALSE)</f>
        <v>-138.99996359786468</v>
      </c>
      <c r="F11" s="3" t="s">
        <v>56</v>
      </c>
      <c r="G11" s="12" t="str">
        <f t="shared" ref="G11:G31" si="4">MID(I11,3,LEN(I11)-3)</f>
        <v>52054.49780</v>
      </c>
      <c r="H11" s="10">
        <f t="shared" ref="H11:H31" si="5">1*K11</f>
        <v>-1027</v>
      </c>
      <c r="I11" s="49" t="s">
        <v>122</v>
      </c>
      <c r="J11" s="50" t="s">
        <v>123</v>
      </c>
      <c r="K11" s="49">
        <v>-1027</v>
      </c>
      <c r="L11" s="49" t="s">
        <v>124</v>
      </c>
      <c r="M11" s="50" t="s">
        <v>125</v>
      </c>
      <c r="N11" s="50" t="s">
        <v>126</v>
      </c>
      <c r="O11" s="51" t="s">
        <v>127</v>
      </c>
      <c r="P11" s="52" t="s">
        <v>128</v>
      </c>
    </row>
    <row r="12" spans="1:16" ht="12.75" customHeight="1" thickBot="1" x14ac:dyDescent="0.25">
      <c r="A12" s="10" t="str">
        <f t="shared" si="0"/>
        <v> BBS 129 </v>
      </c>
      <c r="B12" s="3" t="str">
        <f t="shared" si="1"/>
        <v>I</v>
      </c>
      <c r="C12" s="10">
        <f t="shared" si="2"/>
        <v>52548.353000000003</v>
      </c>
      <c r="D12" s="12" t="str">
        <f t="shared" si="3"/>
        <v>vis</v>
      </c>
      <c r="E12" s="48">
        <f>VLOOKUP(C12,Active!C$21:E$973,3,FALSE)</f>
        <v>13.999053544445355</v>
      </c>
      <c r="F12" s="3" t="s">
        <v>56</v>
      </c>
      <c r="G12" s="12" t="str">
        <f t="shared" si="4"/>
        <v>52548.353</v>
      </c>
      <c r="H12" s="10">
        <f t="shared" si="5"/>
        <v>-874</v>
      </c>
      <c r="I12" s="49" t="s">
        <v>129</v>
      </c>
      <c r="J12" s="50" t="s">
        <v>130</v>
      </c>
      <c r="K12" s="49">
        <v>-874</v>
      </c>
      <c r="L12" s="49" t="s">
        <v>131</v>
      </c>
      <c r="M12" s="50" t="s">
        <v>102</v>
      </c>
      <c r="N12" s="50" t="s">
        <v>103</v>
      </c>
      <c r="O12" s="51" t="s">
        <v>104</v>
      </c>
      <c r="P12" s="51" t="s">
        <v>132</v>
      </c>
    </row>
    <row r="13" spans="1:16" ht="12.75" customHeight="1" thickBot="1" x14ac:dyDescent="0.25">
      <c r="A13" s="10" t="str">
        <f t="shared" si="0"/>
        <v>BAVM 232 </v>
      </c>
      <c r="B13" s="3" t="str">
        <f t="shared" si="1"/>
        <v>I</v>
      </c>
      <c r="C13" s="10">
        <f t="shared" si="2"/>
        <v>56489.550600000002</v>
      </c>
      <c r="D13" s="12" t="str">
        <f t="shared" si="3"/>
        <v>vis</v>
      </c>
      <c r="E13" s="48">
        <f>VLOOKUP(C13,Active!C$21:E$973,3,FALSE)</f>
        <v>1235.0034272224475</v>
      </c>
      <c r="F13" s="3" t="s">
        <v>56</v>
      </c>
      <c r="G13" s="12" t="str">
        <f t="shared" si="4"/>
        <v>56489.5506</v>
      </c>
      <c r="H13" s="10">
        <f t="shared" si="5"/>
        <v>347</v>
      </c>
      <c r="I13" s="49" t="s">
        <v>138</v>
      </c>
      <c r="J13" s="50" t="s">
        <v>139</v>
      </c>
      <c r="K13" s="49">
        <v>347</v>
      </c>
      <c r="L13" s="49" t="s">
        <v>140</v>
      </c>
      <c r="M13" s="50" t="s">
        <v>125</v>
      </c>
      <c r="N13" s="50" t="s">
        <v>141</v>
      </c>
      <c r="O13" s="51" t="s">
        <v>142</v>
      </c>
      <c r="P13" s="52" t="s">
        <v>143</v>
      </c>
    </row>
    <row r="14" spans="1:16" ht="12.75" customHeight="1" thickBot="1" x14ac:dyDescent="0.25">
      <c r="A14" s="10" t="str">
        <f t="shared" si="0"/>
        <v> MVS 390 </v>
      </c>
      <c r="B14" s="3" t="str">
        <f t="shared" si="1"/>
        <v>I</v>
      </c>
      <c r="C14" s="10">
        <f t="shared" si="2"/>
        <v>29056.5</v>
      </c>
      <c r="D14" s="12" t="str">
        <f t="shared" si="3"/>
        <v>vis</v>
      </c>
      <c r="E14" s="48">
        <f>VLOOKUP(C14,Active!C$21:E$973,3,FALSE)</f>
        <v>-7263.9043073021921</v>
      </c>
      <c r="F14" s="3" t="s">
        <v>56</v>
      </c>
      <c r="G14" s="12" t="str">
        <f t="shared" si="4"/>
        <v>29056.500</v>
      </c>
      <c r="H14" s="10">
        <f t="shared" si="5"/>
        <v>-8152</v>
      </c>
      <c r="I14" s="49" t="s">
        <v>58</v>
      </c>
      <c r="J14" s="50" t="s">
        <v>59</v>
      </c>
      <c r="K14" s="49">
        <v>-8152</v>
      </c>
      <c r="L14" s="49" t="s">
        <v>60</v>
      </c>
      <c r="M14" s="50" t="s">
        <v>61</v>
      </c>
      <c r="N14" s="50"/>
      <c r="O14" s="51" t="s">
        <v>62</v>
      </c>
      <c r="P14" s="51" t="s">
        <v>63</v>
      </c>
    </row>
    <row r="15" spans="1:16" ht="12.75" customHeight="1" thickBot="1" x14ac:dyDescent="0.25">
      <c r="A15" s="10" t="str">
        <f t="shared" si="0"/>
        <v> MVS 390 </v>
      </c>
      <c r="B15" s="3" t="str">
        <f t="shared" si="1"/>
        <v>I</v>
      </c>
      <c r="C15" s="10">
        <f t="shared" si="2"/>
        <v>29111.415000000001</v>
      </c>
      <c r="D15" s="12" t="str">
        <f t="shared" si="3"/>
        <v>vis</v>
      </c>
      <c r="E15" s="48">
        <f>VLOOKUP(C15,Active!C$21:E$973,3,FALSE)</f>
        <v>-7246.8913427199213</v>
      </c>
      <c r="F15" s="3" t="s">
        <v>56</v>
      </c>
      <c r="G15" s="12" t="str">
        <f t="shared" si="4"/>
        <v>29111.415</v>
      </c>
      <c r="H15" s="10">
        <f t="shared" si="5"/>
        <v>-8135</v>
      </c>
      <c r="I15" s="49" t="s">
        <v>64</v>
      </c>
      <c r="J15" s="50" t="s">
        <v>65</v>
      </c>
      <c r="K15" s="49">
        <v>-8135</v>
      </c>
      <c r="L15" s="49" t="s">
        <v>66</v>
      </c>
      <c r="M15" s="50" t="s">
        <v>61</v>
      </c>
      <c r="N15" s="50"/>
      <c r="O15" s="51" t="s">
        <v>62</v>
      </c>
      <c r="P15" s="51" t="s">
        <v>63</v>
      </c>
    </row>
    <row r="16" spans="1:16" ht="12.75" customHeight="1" thickBot="1" x14ac:dyDescent="0.25">
      <c r="A16" s="10" t="str">
        <f t="shared" si="0"/>
        <v> MVS 390 </v>
      </c>
      <c r="B16" s="3" t="str">
        <f t="shared" si="1"/>
        <v>I</v>
      </c>
      <c r="C16" s="10">
        <f t="shared" si="2"/>
        <v>29195.276000000002</v>
      </c>
      <c r="D16" s="12" t="str">
        <f t="shared" si="3"/>
        <v>vis</v>
      </c>
      <c r="E16" s="48">
        <f>VLOOKUP(C16,Active!C$21:E$973,3,FALSE)</f>
        <v>-7220.9107504803924</v>
      </c>
      <c r="F16" s="3" t="s">
        <v>56</v>
      </c>
      <c r="G16" s="12" t="str">
        <f t="shared" si="4"/>
        <v>29195.276</v>
      </c>
      <c r="H16" s="10">
        <f t="shared" si="5"/>
        <v>-8109</v>
      </c>
      <c r="I16" s="49" t="s">
        <v>67</v>
      </c>
      <c r="J16" s="50" t="s">
        <v>68</v>
      </c>
      <c r="K16" s="49">
        <v>-8109</v>
      </c>
      <c r="L16" s="49" t="s">
        <v>69</v>
      </c>
      <c r="M16" s="50" t="s">
        <v>61</v>
      </c>
      <c r="N16" s="50"/>
      <c r="O16" s="51" t="s">
        <v>62</v>
      </c>
      <c r="P16" s="51" t="s">
        <v>63</v>
      </c>
    </row>
    <row r="17" spans="1:16" ht="12.75" customHeight="1" thickBot="1" x14ac:dyDescent="0.25">
      <c r="A17" s="10" t="str">
        <f t="shared" si="0"/>
        <v> MVS 390 </v>
      </c>
      <c r="B17" s="3" t="str">
        <f t="shared" si="1"/>
        <v>I</v>
      </c>
      <c r="C17" s="10">
        <f t="shared" si="2"/>
        <v>29424.452000000001</v>
      </c>
      <c r="D17" s="12" t="str">
        <f t="shared" si="3"/>
        <v>vis</v>
      </c>
      <c r="E17" s="48">
        <f>VLOOKUP(C17,Active!C$21:E$973,3,FALSE)</f>
        <v>-7149.9107837844749</v>
      </c>
      <c r="F17" s="3" t="s">
        <v>56</v>
      </c>
      <c r="G17" s="12" t="str">
        <f t="shared" si="4"/>
        <v>29424.452</v>
      </c>
      <c r="H17" s="10">
        <f t="shared" si="5"/>
        <v>-8038</v>
      </c>
      <c r="I17" s="49" t="s">
        <v>70</v>
      </c>
      <c r="J17" s="50" t="s">
        <v>71</v>
      </c>
      <c r="K17" s="49">
        <v>-8038</v>
      </c>
      <c r="L17" s="49" t="s">
        <v>72</v>
      </c>
      <c r="M17" s="50" t="s">
        <v>61</v>
      </c>
      <c r="N17" s="50"/>
      <c r="O17" s="51" t="s">
        <v>62</v>
      </c>
      <c r="P17" s="51" t="s">
        <v>63</v>
      </c>
    </row>
    <row r="18" spans="1:16" ht="12.75" customHeight="1" thickBot="1" x14ac:dyDescent="0.25">
      <c r="A18" s="10" t="str">
        <f t="shared" si="0"/>
        <v> MVS 390 </v>
      </c>
      <c r="B18" s="3" t="str">
        <f t="shared" si="1"/>
        <v>I</v>
      </c>
      <c r="C18" s="10">
        <f t="shared" si="2"/>
        <v>29876.374</v>
      </c>
      <c r="D18" s="12" t="str">
        <f t="shared" si="3"/>
        <v>vis</v>
      </c>
      <c r="E18" s="48">
        <f>VLOOKUP(C18,Active!C$21:E$973,3,FALSE)</f>
        <v>-7009.9028992365629</v>
      </c>
      <c r="F18" s="3" t="s">
        <v>56</v>
      </c>
      <c r="G18" s="12" t="str">
        <f t="shared" si="4"/>
        <v>29876.374</v>
      </c>
      <c r="H18" s="10">
        <f t="shared" si="5"/>
        <v>-7898</v>
      </c>
      <c r="I18" s="49" t="s">
        <v>73</v>
      </c>
      <c r="J18" s="50" t="s">
        <v>74</v>
      </c>
      <c r="K18" s="49">
        <v>-7898</v>
      </c>
      <c r="L18" s="49" t="s">
        <v>75</v>
      </c>
      <c r="M18" s="50" t="s">
        <v>61</v>
      </c>
      <c r="N18" s="50"/>
      <c r="O18" s="51" t="s">
        <v>62</v>
      </c>
      <c r="P18" s="51" t="s">
        <v>63</v>
      </c>
    </row>
    <row r="19" spans="1:16" ht="12.75" customHeight="1" thickBot="1" x14ac:dyDescent="0.25">
      <c r="A19" s="10" t="str">
        <f t="shared" si="0"/>
        <v> MVS 390 </v>
      </c>
      <c r="B19" s="3" t="str">
        <f t="shared" si="1"/>
        <v>I</v>
      </c>
      <c r="C19" s="10">
        <f t="shared" si="2"/>
        <v>29931.252</v>
      </c>
      <c r="D19" s="12" t="str">
        <f t="shared" si="3"/>
        <v>vis</v>
      </c>
      <c r="E19" s="48">
        <f>VLOOKUP(C19,Active!C$21:E$973,3,FALSE)</f>
        <v>-6992.9013974547943</v>
      </c>
      <c r="F19" s="3" t="s">
        <v>56</v>
      </c>
      <c r="G19" s="12" t="str">
        <f t="shared" si="4"/>
        <v>29931.252</v>
      </c>
      <c r="H19" s="10">
        <f t="shared" si="5"/>
        <v>-7881</v>
      </c>
      <c r="I19" s="49" t="s">
        <v>76</v>
      </c>
      <c r="J19" s="50" t="s">
        <v>77</v>
      </c>
      <c r="K19" s="49">
        <v>-7881</v>
      </c>
      <c r="L19" s="49" t="s">
        <v>78</v>
      </c>
      <c r="M19" s="50" t="s">
        <v>61</v>
      </c>
      <c r="N19" s="50"/>
      <c r="O19" s="51" t="s">
        <v>62</v>
      </c>
      <c r="P19" s="51" t="s">
        <v>63</v>
      </c>
    </row>
    <row r="20" spans="1:16" ht="12.75" customHeight="1" thickBot="1" x14ac:dyDescent="0.25">
      <c r="A20" s="10" t="str">
        <f t="shared" si="0"/>
        <v> MVS 390 </v>
      </c>
      <c r="B20" s="3" t="str">
        <f t="shared" si="1"/>
        <v>I</v>
      </c>
      <c r="C20" s="10">
        <f t="shared" si="2"/>
        <v>30147.491000000002</v>
      </c>
      <c r="D20" s="12" t="str">
        <f t="shared" si="3"/>
        <v>vis</v>
      </c>
      <c r="E20" s="48">
        <f>VLOOKUP(C20,Active!C$21:E$973,3,FALSE)</f>
        <v>-6925.9093834639807</v>
      </c>
      <c r="F20" s="3" t="s">
        <v>56</v>
      </c>
      <c r="G20" s="12" t="str">
        <f t="shared" si="4"/>
        <v>30147.491</v>
      </c>
      <c r="H20" s="10">
        <f t="shared" si="5"/>
        <v>-7814</v>
      </c>
      <c r="I20" s="49" t="s">
        <v>79</v>
      </c>
      <c r="J20" s="50" t="s">
        <v>80</v>
      </c>
      <c r="K20" s="49">
        <v>-7814</v>
      </c>
      <c r="L20" s="49" t="s">
        <v>81</v>
      </c>
      <c r="M20" s="50" t="s">
        <v>61</v>
      </c>
      <c r="N20" s="50"/>
      <c r="O20" s="51" t="s">
        <v>62</v>
      </c>
      <c r="P20" s="51" t="s">
        <v>63</v>
      </c>
    </row>
    <row r="21" spans="1:16" ht="12.75" customHeight="1" thickBot="1" x14ac:dyDescent="0.25">
      <c r="A21" s="10" t="str">
        <f t="shared" si="0"/>
        <v> MVS 390 </v>
      </c>
      <c r="B21" s="3" t="str">
        <f t="shared" si="1"/>
        <v>I</v>
      </c>
      <c r="C21" s="10">
        <f t="shared" si="2"/>
        <v>30883.47</v>
      </c>
      <c r="D21" s="12" t="str">
        <f t="shared" si="3"/>
        <v>vis</v>
      </c>
      <c r="E21" s="48">
        <f>VLOOKUP(C21,Active!C$21:E$973,3,FALSE)</f>
        <v>-6697.8991010221262</v>
      </c>
      <c r="F21" s="3" t="s">
        <v>56</v>
      </c>
      <c r="G21" s="12" t="str">
        <f t="shared" si="4"/>
        <v>30883.470</v>
      </c>
      <c r="H21" s="10">
        <f t="shared" si="5"/>
        <v>-7586</v>
      </c>
      <c r="I21" s="49" t="s">
        <v>82</v>
      </c>
      <c r="J21" s="50" t="s">
        <v>83</v>
      </c>
      <c r="K21" s="49">
        <v>-7586</v>
      </c>
      <c r="L21" s="49" t="s">
        <v>84</v>
      </c>
      <c r="M21" s="50" t="s">
        <v>61</v>
      </c>
      <c r="N21" s="50"/>
      <c r="O21" s="51" t="s">
        <v>62</v>
      </c>
      <c r="P21" s="51" t="s">
        <v>63</v>
      </c>
    </row>
    <row r="22" spans="1:16" ht="12.75" customHeight="1" thickBot="1" x14ac:dyDescent="0.25">
      <c r="A22" s="10" t="str">
        <f t="shared" si="0"/>
        <v> MVS 390 </v>
      </c>
      <c r="B22" s="3" t="str">
        <f t="shared" si="1"/>
        <v>I</v>
      </c>
      <c r="C22" s="10">
        <f t="shared" si="2"/>
        <v>31238.491999999998</v>
      </c>
      <c r="D22" s="12" t="str">
        <f t="shared" si="3"/>
        <v>vis</v>
      </c>
      <c r="E22" s="48">
        <f>VLOOKUP(C22,Active!C$21:E$973,3,FALSE)</f>
        <v>-6587.9113615715823</v>
      </c>
      <c r="F22" s="3" t="s">
        <v>56</v>
      </c>
      <c r="G22" s="12" t="str">
        <f t="shared" si="4"/>
        <v>31238.492</v>
      </c>
      <c r="H22" s="10">
        <f t="shared" si="5"/>
        <v>-7476</v>
      </c>
      <c r="I22" s="49" t="s">
        <v>85</v>
      </c>
      <c r="J22" s="50" t="s">
        <v>86</v>
      </c>
      <c r="K22" s="49">
        <v>-7476</v>
      </c>
      <c r="L22" s="49" t="s">
        <v>69</v>
      </c>
      <c r="M22" s="50" t="s">
        <v>61</v>
      </c>
      <c r="N22" s="50"/>
      <c r="O22" s="51" t="s">
        <v>62</v>
      </c>
      <c r="P22" s="51" t="s">
        <v>63</v>
      </c>
    </row>
    <row r="23" spans="1:16" ht="12.75" customHeight="1" thickBot="1" x14ac:dyDescent="0.25">
      <c r="A23" s="10" t="str">
        <f t="shared" si="0"/>
        <v> MVS 390 </v>
      </c>
      <c r="B23" s="3" t="str">
        <f t="shared" si="1"/>
        <v>I</v>
      </c>
      <c r="C23" s="10">
        <f t="shared" si="2"/>
        <v>31322.416000000001</v>
      </c>
      <c r="D23" s="12" t="str">
        <f t="shared" si="3"/>
        <v>vis</v>
      </c>
      <c r="E23" s="48">
        <f>VLOOKUP(C23,Active!C$21:E$973,3,FALSE)</f>
        <v>-6561.9112515906581</v>
      </c>
      <c r="F23" s="3" t="s">
        <v>56</v>
      </c>
      <c r="G23" s="12" t="str">
        <f t="shared" si="4"/>
        <v>31322.416</v>
      </c>
      <c r="H23" s="10">
        <f t="shared" si="5"/>
        <v>-7450</v>
      </c>
      <c r="I23" s="49" t="s">
        <v>87</v>
      </c>
      <c r="J23" s="50" t="s">
        <v>88</v>
      </c>
      <c r="K23" s="49">
        <v>-7450</v>
      </c>
      <c r="L23" s="49" t="s">
        <v>72</v>
      </c>
      <c r="M23" s="50" t="s">
        <v>61</v>
      </c>
      <c r="N23" s="50"/>
      <c r="O23" s="51" t="s">
        <v>62</v>
      </c>
      <c r="P23" s="51" t="s">
        <v>63</v>
      </c>
    </row>
    <row r="24" spans="1:16" ht="12.75" customHeight="1" thickBot="1" x14ac:dyDescent="0.25">
      <c r="A24" s="10" t="str">
        <f t="shared" si="0"/>
        <v> BRNO 28 </v>
      </c>
      <c r="B24" s="3" t="str">
        <f t="shared" si="1"/>
        <v>I</v>
      </c>
      <c r="C24" s="10">
        <f t="shared" si="2"/>
        <v>46612.491000000002</v>
      </c>
      <c r="D24" s="12" t="str">
        <f t="shared" si="3"/>
        <v>vis</v>
      </c>
      <c r="E24" s="48">
        <f>VLOOKUP(C24,Active!C$21:E$973,3,FALSE)</f>
        <v>-1824.9631602631177</v>
      </c>
      <c r="F24" s="3" t="s">
        <v>56</v>
      </c>
      <c r="G24" s="12" t="str">
        <f t="shared" si="4"/>
        <v>46612.491</v>
      </c>
      <c r="H24" s="10">
        <f t="shared" si="5"/>
        <v>-2713</v>
      </c>
      <c r="I24" s="49" t="s">
        <v>89</v>
      </c>
      <c r="J24" s="50" t="s">
        <v>90</v>
      </c>
      <c r="K24" s="49">
        <v>-2713</v>
      </c>
      <c r="L24" s="49" t="s">
        <v>91</v>
      </c>
      <c r="M24" s="50" t="s">
        <v>92</v>
      </c>
      <c r="N24" s="50"/>
      <c r="O24" s="51" t="s">
        <v>93</v>
      </c>
      <c r="P24" s="51" t="s">
        <v>94</v>
      </c>
    </row>
    <row r="25" spans="1:16" ht="12.75" customHeight="1" thickBot="1" x14ac:dyDescent="0.25">
      <c r="A25" s="10" t="str">
        <f t="shared" si="0"/>
        <v> BRNO 28 </v>
      </c>
      <c r="B25" s="3" t="str">
        <f t="shared" si="1"/>
        <v>I</v>
      </c>
      <c r="C25" s="10">
        <f t="shared" si="2"/>
        <v>46612.497000000003</v>
      </c>
      <c r="D25" s="12" t="str">
        <f t="shared" si="3"/>
        <v>vis</v>
      </c>
      <c r="E25" s="48">
        <f>VLOOKUP(C25,Active!C$21:E$973,3,FALSE)</f>
        <v>-1824.9613014306037</v>
      </c>
      <c r="F25" s="3" t="s">
        <v>56</v>
      </c>
      <c r="G25" s="12" t="str">
        <f t="shared" si="4"/>
        <v>46612.497</v>
      </c>
      <c r="H25" s="10">
        <f t="shared" si="5"/>
        <v>-2713</v>
      </c>
      <c r="I25" s="49" t="s">
        <v>95</v>
      </c>
      <c r="J25" s="50" t="s">
        <v>96</v>
      </c>
      <c r="K25" s="49">
        <v>-2713</v>
      </c>
      <c r="L25" s="49" t="s">
        <v>97</v>
      </c>
      <c r="M25" s="50" t="s">
        <v>92</v>
      </c>
      <c r="N25" s="50"/>
      <c r="O25" s="51" t="s">
        <v>98</v>
      </c>
      <c r="P25" s="51" t="s">
        <v>94</v>
      </c>
    </row>
    <row r="26" spans="1:16" ht="12.75" customHeight="1" thickBot="1" x14ac:dyDescent="0.25">
      <c r="A26" s="10" t="str">
        <f t="shared" si="0"/>
        <v> BBS 97 </v>
      </c>
      <c r="B26" s="3" t="str">
        <f t="shared" si="1"/>
        <v>I</v>
      </c>
      <c r="C26" s="10">
        <f t="shared" si="2"/>
        <v>48171.42</v>
      </c>
      <c r="D26" s="12" t="str">
        <f t="shared" si="3"/>
        <v>vis</v>
      </c>
      <c r="E26" s="48">
        <f>VLOOKUP(C26,Active!C$21:E$973,3,FALSE)</f>
        <v>-1341.9985082869089</v>
      </c>
      <c r="F26" s="3" t="s">
        <v>56</v>
      </c>
      <c r="G26" s="12" t="str">
        <f t="shared" si="4"/>
        <v>48171.420</v>
      </c>
      <c r="H26" s="10">
        <f t="shared" si="5"/>
        <v>-2230</v>
      </c>
      <c r="I26" s="49" t="s">
        <v>99</v>
      </c>
      <c r="J26" s="50" t="s">
        <v>100</v>
      </c>
      <c r="K26" s="49">
        <v>-2230</v>
      </c>
      <c r="L26" s="49" t="s">
        <v>101</v>
      </c>
      <c r="M26" s="50" t="s">
        <v>102</v>
      </c>
      <c r="N26" s="50" t="s">
        <v>103</v>
      </c>
      <c r="O26" s="51" t="s">
        <v>104</v>
      </c>
      <c r="P26" s="51" t="s">
        <v>105</v>
      </c>
    </row>
    <row r="27" spans="1:16" ht="12.75" customHeight="1" thickBot="1" x14ac:dyDescent="0.25">
      <c r="A27" s="10" t="str">
        <f t="shared" si="0"/>
        <v> BBS 98 </v>
      </c>
      <c r="B27" s="3" t="str">
        <f t="shared" si="1"/>
        <v>I</v>
      </c>
      <c r="C27" s="10">
        <f t="shared" si="2"/>
        <v>48442.54</v>
      </c>
      <c r="D27" s="12" t="str">
        <f t="shared" si="3"/>
        <v>vis</v>
      </c>
      <c r="E27" s="48">
        <f>VLOOKUP(C27,Active!C$21:E$973,3,FALSE)</f>
        <v>-1258.00406309807</v>
      </c>
      <c r="F27" s="3" t="s">
        <v>56</v>
      </c>
      <c r="G27" s="12" t="str">
        <f t="shared" si="4"/>
        <v>48442.54</v>
      </c>
      <c r="H27" s="10">
        <f t="shared" si="5"/>
        <v>-2146</v>
      </c>
      <c r="I27" s="49" t="s">
        <v>106</v>
      </c>
      <c r="J27" s="50" t="s">
        <v>107</v>
      </c>
      <c r="K27" s="49">
        <v>-2146</v>
      </c>
      <c r="L27" s="49" t="s">
        <v>108</v>
      </c>
      <c r="M27" s="50" t="s">
        <v>102</v>
      </c>
      <c r="N27" s="50" t="s">
        <v>103</v>
      </c>
      <c r="O27" s="51" t="s">
        <v>104</v>
      </c>
      <c r="P27" s="51" t="s">
        <v>109</v>
      </c>
    </row>
    <row r="28" spans="1:16" ht="12.75" customHeight="1" thickBot="1" x14ac:dyDescent="0.25">
      <c r="A28" s="10" t="str">
        <f t="shared" si="0"/>
        <v> BBS 102 </v>
      </c>
      <c r="B28" s="3" t="str">
        <f t="shared" si="1"/>
        <v>I</v>
      </c>
      <c r="C28" s="10">
        <f t="shared" si="2"/>
        <v>48852.5</v>
      </c>
      <c r="D28" s="12" t="str">
        <f t="shared" si="3"/>
        <v>vis</v>
      </c>
      <c r="E28" s="48">
        <f>VLOOKUP(C28,Active!C$21:E$973,3,FALSE)</f>
        <v>-1130.9962335406196</v>
      </c>
      <c r="F28" s="3" t="s">
        <v>56</v>
      </c>
      <c r="G28" s="12" t="str">
        <f t="shared" si="4"/>
        <v>48852.50</v>
      </c>
      <c r="H28" s="10">
        <f t="shared" si="5"/>
        <v>-2019</v>
      </c>
      <c r="I28" s="49" t="s">
        <v>110</v>
      </c>
      <c r="J28" s="50" t="s">
        <v>111</v>
      </c>
      <c r="K28" s="49">
        <v>-2019</v>
      </c>
      <c r="L28" s="49" t="s">
        <v>112</v>
      </c>
      <c r="M28" s="50" t="s">
        <v>102</v>
      </c>
      <c r="N28" s="50" t="s">
        <v>103</v>
      </c>
      <c r="O28" s="51" t="s">
        <v>104</v>
      </c>
      <c r="P28" s="51" t="s">
        <v>113</v>
      </c>
    </row>
    <row r="29" spans="1:16" ht="12.75" customHeight="1" thickBot="1" x14ac:dyDescent="0.25">
      <c r="A29" s="10" t="str">
        <f t="shared" si="0"/>
        <v> BBS 105 </v>
      </c>
      <c r="B29" s="3" t="str">
        <f t="shared" si="1"/>
        <v>I</v>
      </c>
      <c r="C29" s="10">
        <f t="shared" si="2"/>
        <v>49220.463000000003</v>
      </c>
      <c r="D29" s="12" t="str">
        <f t="shared" si="3"/>
        <v>vis</v>
      </c>
      <c r="E29" s="48">
        <f>VLOOKUP(C29,Active!C$21:E$973,3,FALSE)</f>
        <v>-1016.9993021632934</v>
      </c>
      <c r="F29" s="3" t="s">
        <v>56</v>
      </c>
      <c r="G29" s="12" t="str">
        <f t="shared" si="4"/>
        <v>49220.463</v>
      </c>
      <c r="H29" s="10">
        <f t="shared" si="5"/>
        <v>-1905</v>
      </c>
      <c r="I29" s="49" t="s">
        <v>114</v>
      </c>
      <c r="J29" s="50" t="s">
        <v>115</v>
      </c>
      <c r="K29" s="49">
        <v>-1905</v>
      </c>
      <c r="L29" s="49" t="s">
        <v>116</v>
      </c>
      <c r="M29" s="50" t="s">
        <v>102</v>
      </c>
      <c r="N29" s="50" t="s">
        <v>103</v>
      </c>
      <c r="O29" s="51" t="s">
        <v>104</v>
      </c>
      <c r="P29" s="51" t="s">
        <v>117</v>
      </c>
    </row>
    <row r="30" spans="1:16" ht="12.75" customHeight="1" thickBot="1" x14ac:dyDescent="0.25">
      <c r="A30" s="10" t="str">
        <f t="shared" si="0"/>
        <v> BBS 111 </v>
      </c>
      <c r="B30" s="3" t="str">
        <f t="shared" si="1"/>
        <v>I</v>
      </c>
      <c r="C30" s="10">
        <f t="shared" si="2"/>
        <v>49998.373</v>
      </c>
      <c r="D30" s="12" t="str">
        <f t="shared" si="3"/>
        <v>vis</v>
      </c>
      <c r="E30" s="48">
        <f>VLOOKUP(C30,Active!C$21:E$973,3,FALSE)</f>
        <v>-775.99856869896519</v>
      </c>
      <c r="F30" s="3" t="s">
        <v>56</v>
      </c>
      <c r="G30" s="12" t="str">
        <f t="shared" si="4"/>
        <v>49998.373</v>
      </c>
      <c r="H30" s="10">
        <f t="shared" si="5"/>
        <v>-1664</v>
      </c>
      <c r="I30" s="49" t="s">
        <v>118</v>
      </c>
      <c r="J30" s="50" t="s">
        <v>119</v>
      </c>
      <c r="K30" s="49">
        <v>-1664</v>
      </c>
      <c r="L30" s="49" t="s">
        <v>120</v>
      </c>
      <c r="M30" s="50" t="s">
        <v>102</v>
      </c>
      <c r="N30" s="50" t="s">
        <v>103</v>
      </c>
      <c r="O30" s="51" t="s">
        <v>104</v>
      </c>
      <c r="P30" s="51" t="s">
        <v>121</v>
      </c>
    </row>
    <row r="31" spans="1:16" ht="12.75" customHeight="1" thickBot="1" x14ac:dyDescent="0.25">
      <c r="A31" s="10" t="str">
        <f t="shared" si="0"/>
        <v>OEJV 0137 </v>
      </c>
      <c r="B31" s="3" t="str">
        <f t="shared" si="1"/>
        <v>I</v>
      </c>
      <c r="C31" s="10">
        <f t="shared" si="2"/>
        <v>55369.481099999997</v>
      </c>
      <c r="D31" s="12" t="str">
        <f t="shared" si="3"/>
        <v>vis</v>
      </c>
      <c r="E31" s="48">
        <f>VLOOKUP(C31,Active!C$21:E$973,3,FALSE)</f>
        <v>887.99982650896402</v>
      </c>
      <c r="F31" s="3" t="s">
        <v>56</v>
      </c>
      <c r="G31" s="12" t="str">
        <f t="shared" si="4"/>
        <v>55369.4811</v>
      </c>
      <c r="H31" s="10">
        <f t="shared" si="5"/>
        <v>0</v>
      </c>
      <c r="I31" s="49" t="s">
        <v>133</v>
      </c>
      <c r="J31" s="50" t="s">
        <v>134</v>
      </c>
      <c r="K31" s="49">
        <v>0</v>
      </c>
      <c r="L31" s="49" t="s">
        <v>135</v>
      </c>
      <c r="M31" s="50" t="s">
        <v>125</v>
      </c>
      <c r="N31" s="50" t="s">
        <v>49</v>
      </c>
      <c r="O31" s="51" t="s">
        <v>136</v>
      </c>
      <c r="P31" s="52" t="s">
        <v>137</v>
      </c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</sheetData>
  <phoneticPr fontId="7" type="noConversion"/>
  <hyperlinks>
    <hyperlink ref="A3" r:id="rId1" xr:uid="{00000000-0004-0000-0100-000000000000}"/>
    <hyperlink ref="P11" r:id="rId2" display="http://var.astro.cz/oejv/issues/oejv0074.pdf" xr:uid="{00000000-0004-0000-0100-000001000000}"/>
    <hyperlink ref="P31" r:id="rId3" display="http://var.astro.cz/oejv/issues/oejv0137.pdf" xr:uid="{00000000-0004-0000-0100-000002000000}"/>
    <hyperlink ref="P13" r:id="rId4" display="http://www.bav-astro.de/sfs/BAVM_link.php?BAVMnr=232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2024-01-11T03:11:59Z</dcterms:modified>
</cp:coreProperties>
</file>