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43456C-5E6F-4C46-9E7E-1D7C64D18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41" i="1"/>
  <c r="F41" i="1" s="1"/>
  <c r="G41" i="1" s="1"/>
  <c r="K41" i="1" s="1"/>
  <c r="Q41" i="1"/>
  <c r="F14" i="1"/>
  <c r="Q40" i="1"/>
  <c r="Q39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8" i="1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E11" i="2"/>
  <c r="A11" i="2"/>
  <c r="Q37" i="1"/>
  <c r="E30" i="1"/>
  <c r="E40" i="1"/>
  <c r="F40" i="1" s="1"/>
  <c r="G40" i="1" s="1"/>
  <c r="K40" i="1" s="1"/>
  <c r="E9" i="1"/>
  <c r="C17" i="1"/>
  <c r="Q22" i="1"/>
  <c r="E31" i="1"/>
  <c r="F31" i="1" s="1"/>
  <c r="G31" i="1" s="1"/>
  <c r="I31" i="1" s="1"/>
  <c r="E38" i="1"/>
  <c r="F38" i="1" s="1"/>
  <c r="G38" i="1" s="1"/>
  <c r="K38" i="1" s="1"/>
  <c r="E33" i="1"/>
  <c r="F33" i="1" s="1"/>
  <c r="G33" i="1" s="1"/>
  <c r="I33" i="1" s="1"/>
  <c r="F15" i="1" l="1"/>
  <c r="F30" i="1"/>
  <c r="G30" i="1" s="1"/>
  <c r="I30" i="1" s="1"/>
  <c r="E20" i="2"/>
  <c r="E27" i="1"/>
  <c r="E37" i="1"/>
  <c r="E34" i="1"/>
  <c r="E22" i="1"/>
  <c r="F22" i="1" s="1"/>
  <c r="G22" i="1" s="1"/>
  <c r="H22" i="1" s="1"/>
  <c r="E28" i="1"/>
  <c r="E23" i="1"/>
  <c r="E39" i="1"/>
  <c r="F39" i="1" s="1"/>
  <c r="G39" i="1" s="1"/>
  <c r="K39" i="1" s="1"/>
  <c r="E23" i="2"/>
  <c r="E35" i="1"/>
  <c r="E32" i="1"/>
  <c r="E25" i="1"/>
  <c r="E26" i="1"/>
  <c r="E29" i="1"/>
  <c r="E21" i="1"/>
  <c r="E21" i="2"/>
  <c r="E24" i="1"/>
  <c r="E14" i="2" l="1"/>
  <c r="F24" i="1"/>
  <c r="G24" i="1" s="1"/>
  <c r="I24" i="1" s="1"/>
  <c r="F32" i="1"/>
  <c r="G32" i="1" s="1"/>
  <c r="I32" i="1" s="1"/>
  <c r="E22" i="2"/>
  <c r="F35" i="1"/>
  <c r="G35" i="1" s="1"/>
  <c r="I35" i="1" s="1"/>
  <c r="E25" i="2"/>
  <c r="E24" i="2"/>
  <c r="F34" i="1"/>
  <c r="G34" i="1" s="1"/>
  <c r="I34" i="1" s="1"/>
  <c r="F37" i="1"/>
  <c r="G37" i="1" s="1"/>
  <c r="K37" i="1" s="1"/>
  <c r="E26" i="2"/>
  <c r="F21" i="1"/>
  <c r="G21" i="1" s="1"/>
  <c r="E12" i="2"/>
  <c r="E19" i="2"/>
  <c r="F29" i="1"/>
  <c r="G29" i="1" s="1"/>
  <c r="I29" i="1" s="1"/>
  <c r="E17" i="2"/>
  <c r="F27" i="1"/>
  <c r="G27" i="1" s="1"/>
  <c r="I27" i="1" s="1"/>
  <c r="F26" i="1"/>
  <c r="G26" i="1" s="1"/>
  <c r="I26" i="1" s="1"/>
  <c r="E16" i="2"/>
  <c r="E13" i="2"/>
  <c r="F23" i="1"/>
  <c r="G23" i="1" s="1"/>
  <c r="I23" i="1" s="1"/>
  <c r="E15" i="2"/>
  <c r="F25" i="1"/>
  <c r="G25" i="1" s="1"/>
  <c r="I25" i="1" s="1"/>
  <c r="F28" i="1"/>
  <c r="G28" i="1" s="1"/>
  <c r="I28" i="1" s="1"/>
  <c r="E18" i="2"/>
  <c r="C11" i="1"/>
  <c r="C12" i="1"/>
  <c r="O36" i="1" l="1"/>
  <c r="O41" i="1"/>
  <c r="C16" i="1"/>
  <c r="D18" i="1" s="1"/>
  <c r="O23" i="1"/>
  <c r="O35" i="1"/>
  <c r="O29" i="1"/>
  <c r="O37" i="1"/>
  <c r="O33" i="1"/>
  <c r="O24" i="1"/>
  <c r="O25" i="1"/>
  <c r="O32" i="1"/>
  <c r="O28" i="1"/>
  <c r="O38" i="1"/>
  <c r="O21" i="1"/>
  <c r="O27" i="1"/>
  <c r="O22" i="1"/>
  <c r="O40" i="1"/>
  <c r="O26" i="1"/>
  <c r="C15" i="1"/>
  <c r="O34" i="1"/>
  <c r="O30" i="1"/>
  <c r="O31" i="1"/>
  <c r="O39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<sst xmlns="http://schemas.openxmlformats.org/spreadsheetml/2006/main" count="235" uniqueCount="124">
  <si>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</si>
  <si>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</si>
  <si>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</si>
  <si>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</si>
  <si>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</si>
  <si>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</si>
  <si>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</si>
  <si>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</si>
  <si>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</si>
  <si>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</si>
  <si>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</si>
  <si>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</si>
  <si>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</si>
  <si>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</si>
  <si>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</si>
  <si>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</si>
  <si>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</si>
  <si>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</si>
  <si>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</si>
  <si>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</si>
  <si>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</si>
  <si>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</si>
  <si>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</si>
  <si>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</si>
  <si>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</si>
  <si>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</si>
  <si>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</si>
  <si>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</si>
  <si>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</si>
  <si>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</si>
  <si>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</si>
  <si>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</si>
  <si>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</si>
  <si>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</si>
  <si>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</si>
  <si>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</si>
  <si>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</si>
  <si>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V0409 Aql</t>
  </si>
  <si>
    <t>G5130-1501</t>
  </si>
  <si>
    <t>EA/DM</t>
  </si>
  <si>
    <t>V0409 Aql / GSC 5130-1501</t>
  </si>
  <si>
    <t>GCVS</t>
  </si>
  <si>
    <t>OEJV 0172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</si>
  <si>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</si>
  <si>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</si>
  <si>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</si>
  <si>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</si>
  <si>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</si>
  <si>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</si>
  <si>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</si>
  <si>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</si>
  <si>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2425503.319 </t>
  </si>
  <si>
    <t> 13.09.1928 19:39 </t>
  </si>
  <si>
    <t> 0.003 </t>
  </si>
  <si>
    <t>P </t>
  </si>
  <si>
    <t> E.Ahnert-Rohlfs </t>
  </si>
  <si>
    <t> VSS 2.123 </t>
  </si>
  <si>
    <t>2425503.355 </t>
  </si>
  <si>
    <t> 13.09.1928 20:31 </t>
  </si>
  <si>
    <t> 0.039 </t>
  </si>
  <si>
    <t> C.Hoffmeister </t>
  </si>
  <si>
    <t> KVBB 19.32 </t>
  </si>
  <si>
    <t>2425792.446 </t>
  </si>
  <si>
    <t> 29.06.1929 22:42 </t>
  </si>
  <si>
    <t> 0.163 </t>
  </si>
  <si>
    <t>2425798.444 </t>
  </si>
  <si>
    <t> 05.07.1929 22:39 </t>
  </si>
  <si>
    <t> 0.013 </t>
  </si>
  <si>
    <t>2425835.405 </t>
  </si>
  <si>
    <t> 11.08.1929 21:43 </t>
  </si>
  <si>
    <t> 0.085 </t>
  </si>
  <si>
    <t>2426095.549 </t>
  </si>
  <si>
    <t> 29.04.1930 01:10 </t>
  </si>
  <si>
    <t> -0.046 </t>
  </si>
  <si>
    <t>2426207.367 </t>
  </si>
  <si>
    <t> 18.08.1930 20:48 </t>
  </si>
  <si>
    <t> 0.079 </t>
  </si>
  <si>
    <t>2426247.338 </t>
  </si>
  <si>
    <t> 27.09.1930 20:06 </t>
  </si>
  <si>
    <t> 0.086 </t>
  </si>
  <si>
    <t>2426505.460 </t>
  </si>
  <si>
    <t> 12.06.1931 23:02 </t>
  </si>
  <si>
    <t> -0.017 </t>
  </si>
  <si>
    <t>2426546.493 </t>
  </si>
  <si>
    <t> 23.07.1931 23:49 </t>
  </si>
  <si>
    <t> 0.028 </t>
  </si>
  <si>
    <t>2431647.452 </t>
  </si>
  <si>
    <t> 10.07.1945 22:50 </t>
  </si>
  <si>
    <t> 0.007 </t>
  </si>
  <si>
    <t>2433473.479 </t>
  </si>
  <si>
    <t> 10.07.1950 23:29 </t>
  </si>
  <si>
    <t> 0.011 </t>
  </si>
  <si>
    <t>2433514.410 </t>
  </si>
  <si>
    <t> 20.08.1950 21:50 </t>
  </si>
  <si>
    <t>2442639.363 </t>
  </si>
  <si>
    <t> 14.08.1975 20:42 </t>
  </si>
  <si>
    <t> -0.087 </t>
  </si>
  <si>
    <t>V </t>
  </si>
  <si>
    <t> T.Berthold </t>
  </si>
  <si>
    <t> MVS 7.149 </t>
  </si>
  <si>
    <t>2443721.433 </t>
  </si>
  <si>
    <t> 31.07.1978 22:23 </t>
  </si>
  <si>
    <t> -0.105 </t>
  </si>
  <si>
    <t> MVS 8.136 </t>
  </si>
  <si>
    <t>2457199.470 </t>
  </si>
  <si>
    <t> 25.06.2015 23:16 </t>
  </si>
  <si>
    <t> -0.007 </t>
  </si>
  <si>
    <t>C </t>
  </si>
  <si>
    <t>o</t>
  </si>
  <si>
    <t> A.Paschke </t>
  </si>
  <si>
    <t>OEJV 0172 </t>
  </si>
  <si>
    <t>II</t>
  </si>
  <si>
    <t>s5</t>
  </si>
  <si>
    <t>s6</t>
  </si>
  <si>
    <t>s7</t>
  </si>
  <si>
    <t>JAVSO 49, 108</t>
  </si>
  <si>
    <t>JAVSO, 50, 133</t>
  </si>
  <si>
    <t>F21</t>
  </si>
  <si>
    <t>JAAVSO52#1</t>
  </si>
  <si>
    <t xml:space="preserve">Mag </t>
  </si>
  <si>
    <t>Next ToM-P</t>
  </si>
  <si>
    <t>Next ToM-S</t>
  </si>
  <si>
    <t>11.40-12.20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</si>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</sst>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3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166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left"/>
    </xf>
    <xf numFmtId="0" fontId="0" fillId="0" borderId="13" xfId="0" applyBorder="1">
      <alignment vertical="top"/>
    </xf>
    <xf numFmtId="0" fontId="27" fillId="0" borderId="16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16" fillId="5" borderId="14" xfId="0" applyFont="1" applyFill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29" fillId="0" borderId="17" xfId="0" applyFont="1" applyBorder="1" applyAlignment="1">
      <alignment horizontal="right" vertical="center"/>
    </xf>
    <xf numFmtId="22" fontId="28" fillId="0" borderId="17" xfId="0" applyNumberFormat="1" applyFont="1" applyBorder="1" applyAlignment="1">
      <alignment horizontal="right" vertical="center"/>
    </xf>
    <xf numFmtId="22" fontId="28" fillId="0" borderId="19" xfId="0" applyNumberFormat="1" applyFont="1" applyBorder="1" applyAlignment="1">
      <alignment horizontal="right" vertical="center"/>
    </xf>
    <xf numFmtId="0" fontId="16" fillId="5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6.8947600000683451E-2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1-4673-8E3E-0925820B1C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3.8947600001847604E-2</c:v>
                </c:pt>
                <c:pt idx="2">
                  <c:v>0.16326450000269688</c:v>
                </c:pt>
                <c:pt idx="3">
                  <c:v>1.3037200002145255E-2</c:v>
                </c:pt>
                <c:pt idx="4">
                  <c:v>8.4673400000610854E-2</c:v>
                </c:pt>
                <c:pt idx="5">
                  <c:v>-4.62822999979835E-2</c:v>
                </c:pt>
                <c:pt idx="6">
                  <c:v>7.8921750002336921E-2</c:v>
                </c:pt>
                <c:pt idx="7">
                  <c:v>8.6444300002767704E-2</c:v>
                </c:pt>
                <c:pt idx="8">
                  <c:v>-1.7102299996622605E-2</c:v>
                </c:pt>
                <c:pt idx="9">
                  <c:v>2.7715700001863297E-2</c:v>
                </c:pt>
                <c:pt idx="10">
                  <c:v>7.4658000048657414E-3</c:v>
                </c:pt>
                <c:pt idx="11">
                  <c:v>1.0957700003928039E-2</c:v>
                </c:pt>
                <c:pt idx="12">
                  <c:v>-4.6224299992900342E-2</c:v>
                </c:pt>
                <c:pt idx="13">
                  <c:v>-8.7242050001805183E-2</c:v>
                </c:pt>
                <c:pt idx="14">
                  <c:v>-0.10524684999836609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B1-4673-8E3E-0925820B1C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B1-4673-8E3E-0925820B1C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5">
                  <c:v>0</c:v>
                </c:pt>
                <c:pt idx="16">
                  <c:v>-7.1929999976418912E-3</c:v>
                </c:pt>
                <c:pt idx="17">
                  <c:v>-7.1929999976418912E-3</c:v>
                </c:pt>
                <c:pt idx="18">
                  <c:v>-2.1655999997165054E-2</c:v>
                </c:pt>
                <c:pt idx="19">
                  <c:v>-1.4130199997453019E-2</c:v>
                </c:pt>
                <c:pt idx="20">
                  <c:v>-1.7724599994835444E-2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B1-4673-8E3E-0925820B1C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B1-4673-8E3E-0925820B1C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B1-4673-8E3E-0925820B1C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0.01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B1-4673-8E3E-0925820B1C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3.5583089196373985E-2</c:v>
                </c:pt>
                <c:pt idx="1">
                  <c:v>3.5583089196373985E-2</c:v>
                </c:pt>
                <c:pt idx="2">
                  <c:v>3.4980166784827918E-2</c:v>
                </c:pt>
                <c:pt idx="3">
                  <c:v>3.4967338648412047E-2</c:v>
                </c:pt>
                <c:pt idx="4">
                  <c:v>3.4890369829916806E-2</c:v>
                </c:pt>
                <c:pt idx="5">
                  <c:v>3.4347312054978152E-2</c:v>
                </c:pt>
                <c:pt idx="6">
                  <c:v>3.4114267576756438E-2</c:v>
                </c:pt>
                <c:pt idx="7">
                  <c:v>3.4030884690053262E-2</c:v>
                </c:pt>
                <c:pt idx="8">
                  <c:v>3.3492102960586564E-2</c:v>
                </c:pt>
                <c:pt idx="9">
                  <c:v>3.340658205114741E-2</c:v>
                </c:pt>
                <c:pt idx="10">
                  <c:v>2.2763504871444181E-2</c:v>
                </c:pt>
                <c:pt idx="11">
                  <c:v>1.8953548355929686E-2</c:v>
                </c:pt>
                <c:pt idx="12">
                  <c:v>1.8868027446490531E-2</c:v>
                </c:pt>
                <c:pt idx="13">
                  <c:v>-1.7106501740204658E-4</c:v>
                </c:pt>
                <c:pt idx="14">
                  <c:v>-2.4288170265958191E-3</c:v>
                </c:pt>
                <c:pt idx="15">
                  <c:v>-2.5290694142418763E-2</c:v>
                </c:pt>
                <c:pt idx="16">
                  <c:v>-3.0550230072926989E-2</c:v>
                </c:pt>
                <c:pt idx="17">
                  <c:v>-3.0550230072926989E-2</c:v>
                </c:pt>
                <c:pt idx="18">
                  <c:v>-3.4526952361847843E-2</c:v>
                </c:pt>
                <c:pt idx="19">
                  <c:v>-3.5219671728305021E-2</c:v>
                </c:pt>
                <c:pt idx="20">
                  <c:v>-3.6861673189536856E-2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B1-4673-8E3E-0925820B1C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-14236</c:v>
                </c:pt>
                <c:pt idx="1">
                  <c:v>-14236</c:v>
                </c:pt>
                <c:pt idx="2">
                  <c:v>-14095</c:v>
                </c:pt>
                <c:pt idx="3">
                  <c:v>-14092</c:v>
                </c:pt>
                <c:pt idx="4">
                  <c:v>-14074</c:v>
                </c:pt>
                <c:pt idx="5">
                  <c:v>-13947</c:v>
                </c:pt>
                <c:pt idx="6">
                  <c:v>-13892.5</c:v>
                </c:pt>
                <c:pt idx="7">
                  <c:v>-13873</c:v>
                </c:pt>
                <c:pt idx="8">
                  <c:v>-13747</c:v>
                </c:pt>
                <c:pt idx="9">
                  <c:v>-13727</c:v>
                </c:pt>
                <c:pt idx="10">
                  <c:v>-11238</c:v>
                </c:pt>
                <c:pt idx="11">
                  <c:v>-10347</c:v>
                </c:pt>
                <c:pt idx="12">
                  <c:v>-10327</c:v>
                </c:pt>
                <c:pt idx="13">
                  <c:v>-5874.5</c:v>
                </c:pt>
                <c:pt idx="14">
                  <c:v>-5346.5</c:v>
                </c:pt>
                <c:pt idx="15">
                  <c:v>0</c:v>
                </c:pt>
                <c:pt idx="16">
                  <c:v>1230</c:v>
                </c:pt>
                <c:pt idx="17">
                  <c:v>1230</c:v>
                </c:pt>
                <c:pt idx="18">
                  <c:v>2160</c:v>
                </c:pt>
                <c:pt idx="19">
                  <c:v>2322</c:v>
                </c:pt>
                <c:pt idx="20">
                  <c:v>2706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B1-4673-8E3E-0925820B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63608"/>
        <c:axId val="1"/>
      </c:scatterChart>
      <c:valAx>
        <c:axId val="76226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19</xdr:col>
      <xdr:colOff>38100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2FDE3EB-915C-F100-F800-08D23A13B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72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40</v>
      </c>
      <c r="F1" s="29" t="s">
        <v>37</v>
      </c>
      <c r="G1" s="30">
        <v>0</v>
      </c>
      <c r="H1" s="31"/>
      <c r="I1" s="32" t="s">
        <v>38</v>
      </c>
      <c r="J1" s="33" t="s">
        <v>37</v>
      </c>
      <c r="K1" s="34">
        <v>19.175850000000001</v>
      </c>
      <c r="L1" s="35">
        <v>-0.40439999999999998</v>
      </c>
      <c r="M1" s="36">
        <v>25503.384999999998</v>
      </c>
      <c r="N1" s="36">
        <v>2.0493899999999998</v>
      </c>
      <c r="O1" s="32" t="s">
        <v>39</v>
      </c>
    </row>
    <row r="2" spans="1:15" ht="12.95" customHeight="1" x14ac:dyDescent="0.2">
      <c r="A2" t="s">
        <v>23</v>
      </c>
      <c r="B2" t="s">
        <v>39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>
        <v>25503.384999999998</v>
      </c>
      <c r="D4" s="26">
        <v>2.0493899999999998</v>
      </c>
    </row>
    <row r="5" spans="1:15" ht="12.95" customHeight="1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ht="12.95" customHeight="1" x14ac:dyDescent="0.2">
      <c r="A6" s="5" t="s">
        <v>1</v>
      </c>
      <c r="E6" s="72" t="s">
        <v>61</v>
      </c>
    </row>
    <row r="7" spans="1:15" ht="12.95" customHeight="1" x14ac:dyDescent="0.2">
      <c r="A7" t="s">
        <v>2</v>
      </c>
      <c r="C7" s="58">
        <v>54678.703999999998</v>
      </c>
      <c r="D7" s="27" t="s">
        <v>123</v>
      </c>
      <c r="E7" s="73">
        <v>25503.384999999998</v>
      </c>
    </row>
    <row r="8" spans="1:15" ht="12.95" customHeight="1" x14ac:dyDescent="0.2">
      <c r="A8" t="s">
        <v>3</v>
      </c>
      <c r="C8" s="58">
        <v>2.0494091000000001</v>
      </c>
      <c r="D8" s="27" t="s">
        <v>123</v>
      </c>
      <c r="E8" s="74">
        <v>2.0493899999999998</v>
      </c>
    </row>
    <row r="9" spans="1:15" ht="12.95" customHeight="1" x14ac:dyDescent="0.2">
      <c r="A9" s="22" t="s">
        <v>28</v>
      </c>
      <c r="C9" s="23">
        <v>21</v>
      </c>
      <c r="D9" s="20" t="s">
        <v>117</v>
      </c>
      <c r="E9" s="21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INTERCEPT(INDIRECT($E$9):G991,INDIRECT($D$9):F991)</f>
        <v>-2.5290694142418763E-2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SLOPE(INDIRECT($E$9):G991,INDIRECT($D$9):F991)</f>
        <v>-4.2760454719579059E-6</v>
      </c>
      <c r="D12" s="3"/>
      <c r="E12" s="66" t="s">
        <v>119</v>
      </c>
      <c r="F12" s="71" t="s">
        <v>122</v>
      </c>
    </row>
    <row r="13" spans="1:15" ht="12.95" customHeight="1" x14ac:dyDescent="0.2">
      <c r="A13" s="10" t="s">
        <v>18</v>
      </c>
      <c r="B13" s="10"/>
      <c r="C13" s="3" t="s">
        <v>13</v>
      </c>
      <c r="E13" s="64" t="s">
        <v>30</v>
      </c>
      <c r="F13" s="68">
        <v>1</v>
      </c>
    </row>
    <row r="14" spans="1:15" ht="12.95" customHeight="1" x14ac:dyDescent="0.2">
      <c r="A14" s="10"/>
      <c r="B14" s="10"/>
      <c r="C14" s="10"/>
      <c r="E14" s="64" t="s">
        <v>27</v>
      </c>
      <c r="F14" s="67">
        <f ca="1">NOW()+15018.5+$C$5/24</f>
        <v>60569.816041550926</v>
      </c>
    </row>
    <row r="15" spans="1:15" ht="12.95" customHeight="1" x14ac:dyDescent="0.2">
      <c r="A15" s="12" t="s">
        <v>17</v>
      </c>
      <c r="B15" s="10"/>
      <c r="C15" s="13">
        <f ca="1">(C7+C11)+(C8+C12)*INT(MAX(F21:F3532))</f>
        <v>60224.368162926803</v>
      </c>
      <c r="E15" s="64" t="s">
        <v>31</v>
      </c>
      <c r="F15" s="67">
        <f ca="1">ROUND(2*($F$14-$C$7)/$C$8,0)/2+$F$13</f>
        <v>2875.5</v>
      </c>
    </row>
    <row r="16" spans="1:15" ht="12.95" customHeight="1" x14ac:dyDescent="0.2">
      <c r="A16" s="15" t="s">
        <v>4</v>
      </c>
      <c r="B16" s="10"/>
      <c r="C16" s="16">
        <f ca="1">+C8+C12</f>
        <v>2.0494048239545282</v>
      </c>
      <c r="E16" s="64" t="s">
        <v>32</v>
      </c>
      <c r="F16" s="67">
        <f ca="1">ROUND(2*($F$14-$C$15)/$C$16,0)/2+$F$13</f>
        <v>169.5</v>
      </c>
    </row>
    <row r="17" spans="1:18" ht="12.95" customHeight="1" thickBot="1" x14ac:dyDescent="0.25">
      <c r="A17" s="14" t="s">
        <v>24</v>
      </c>
      <c r="B17" s="10"/>
      <c r="C17" s="10">
        <f>COUNT(C21:C2190)</f>
        <v>21</v>
      </c>
      <c r="E17" s="64" t="s">
        <v>120</v>
      </c>
      <c r="F17" s="69">
        <f ca="1">+$C$15+$C$16*$F$16-15018.5-$C$5/24</f>
        <v>45553.638113920431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60224.368162926803</v>
      </c>
      <c r="D18" s="63">
        <f ca="1">+C16</f>
        <v>2.0494048239545282</v>
      </c>
      <c r="E18" s="65" t="s">
        <v>121</v>
      </c>
      <c r="F18" s="70">
        <f ca="1">+($C$15+$C$16*$F$16)-($C$16/2)-15018.5-$C$5/24</f>
        <v>45552.613411508457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33</v>
      </c>
      <c r="I20" s="7" t="s">
        <v>34</v>
      </c>
      <c r="J20" s="7" t="s">
        <v>35</v>
      </c>
      <c r="K20" s="7" t="s">
        <v>36</v>
      </c>
      <c r="L20" s="7" t="s">
        <v>112</v>
      </c>
      <c r="M20" s="7" t="s">
        <v>113</v>
      </c>
      <c r="N20" s="7" t="s">
        <v>114</v>
      </c>
      <c r="O20" s="7" t="s">
        <v>22</v>
      </c>
      <c r="P20" s="6" t="s">
        <v>21</v>
      </c>
      <c r="Q20" s="4" t="s">
        <v>14</v>
      </c>
      <c r="R20" s="24" t="s">
        <v>29</v>
      </c>
    </row>
    <row r="21" spans="1:18" ht="12.95" customHeight="1" x14ac:dyDescent="0.2">
      <c r="A21" t="s">
        <v>61</v>
      </c>
      <c r="B21" t="s">
        <v>43</v>
      </c>
      <c r="C21" s="8">
        <v>25503.355</v>
      </c>
      <c r="D21" s="8" t="s">
        <v>34</v>
      </c>
      <c r="E21">
        <f>+(C21-C$7)/C$8</f>
        <v>-14235.980995692855</v>
      </c>
      <c r="F21">
        <f>ROUND(2*E21,0)/2</f>
        <v>-14236</v>
      </c>
      <c r="G21">
        <f>+C21-(C$7+F21*C$8)</f>
        <v>3.8947600001847604E-2</v>
      </c>
      <c r="I21">
        <f>+G21</f>
        <v>3.8947600001847604E-2</v>
      </c>
      <c r="O21">
        <f ca="1">+C$11+C$12*$F21</f>
        <v>3.5583089196373985E-2</v>
      </c>
      <c r="Q21" s="2">
        <f>+C21-15018.5</f>
        <v>10484.855</v>
      </c>
    </row>
    <row r="22" spans="1:18" ht="12.95" customHeight="1" x14ac:dyDescent="0.2">
      <c r="A22" t="s">
        <v>41</v>
      </c>
      <c r="C22" s="8">
        <v>25503.384999999998</v>
      </c>
      <c r="D22" s="8" t="s">
        <v>13</v>
      </c>
      <c r="E22">
        <f>+(C22-C$7)/C$8</f>
        <v>-14235.966357327094</v>
      </c>
      <c r="F22">
        <f>ROUND(2*E22,0)/2</f>
        <v>-14236</v>
      </c>
      <c r="G22">
        <f>+C22-(C$7+F22*C$8)</f>
        <v>6.8947600000683451E-2</v>
      </c>
      <c r="H22">
        <f>+G22</f>
        <v>6.8947600000683451E-2</v>
      </c>
      <c r="O22">
        <f ca="1">+C$11+C$12*$F22</f>
        <v>3.5583089196373985E-2</v>
      </c>
      <c r="Q22" s="2">
        <f>+C22-15018.5</f>
        <v>10484.884999999998</v>
      </c>
    </row>
    <row r="23" spans="1:18" ht="12.95" customHeight="1" x14ac:dyDescent="0.2">
      <c r="A23" t="s">
        <v>61</v>
      </c>
      <c r="B23" t="s">
        <v>43</v>
      </c>
      <c r="C23" s="8">
        <v>25792.446</v>
      </c>
      <c r="D23" s="8" t="s">
        <v>34</v>
      </c>
      <c r="E23">
        <f>+(C23-C$7)/C$8</f>
        <v>-14094.920335817771</v>
      </c>
      <c r="F23">
        <f>ROUND(2*E23,0)/2</f>
        <v>-14095</v>
      </c>
      <c r="G23">
        <f>+C23-(C$7+F23*C$8)</f>
        <v>0.16326450000269688</v>
      </c>
      <c r="I23">
        <f>+G23</f>
        <v>0.16326450000269688</v>
      </c>
      <c r="O23">
        <f ca="1">+C$11+C$12*$F23</f>
        <v>3.4980166784827918E-2</v>
      </c>
      <c r="Q23" s="2">
        <f>+C23-15018.5</f>
        <v>10773.946</v>
      </c>
    </row>
    <row r="24" spans="1:18" ht="12.95" customHeight="1" x14ac:dyDescent="0.2">
      <c r="A24" t="s">
        <v>61</v>
      </c>
      <c r="B24" t="s">
        <v>43</v>
      </c>
      <c r="C24" s="8">
        <v>25798.444</v>
      </c>
      <c r="D24" s="8" t="s">
        <v>34</v>
      </c>
      <c r="E24">
        <f>+(C24-C$7)/C$8</f>
        <v>-14091.993638556594</v>
      </c>
      <c r="F24">
        <f>ROUND(2*E24,0)/2</f>
        <v>-14092</v>
      </c>
      <c r="G24">
        <f>+C24-(C$7+F24*C$8)</f>
        <v>1.3037200002145255E-2</v>
      </c>
      <c r="I24">
        <f>+G24</f>
        <v>1.3037200002145255E-2</v>
      </c>
      <c r="O24">
        <f ca="1">+C$11+C$12*$F24</f>
        <v>3.4967338648412047E-2</v>
      </c>
      <c r="Q24" s="2">
        <f>+C24-15018.5</f>
        <v>10779.944</v>
      </c>
    </row>
    <row r="25" spans="1:18" ht="12.95" customHeight="1" x14ac:dyDescent="0.2">
      <c r="A25" t="s">
        <v>61</v>
      </c>
      <c r="B25" t="s">
        <v>43</v>
      </c>
      <c r="C25" s="8">
        <v>25835.404999999999</v>
      </c>
      <c r="D25" s="8" t="s">
        <v>34</v>
      </c>
      <c r="E25">
        <f>+(C25-C$7)/C$8</f>
        <v>-14073.958683993351</v>
      </c>
      <c r="F25">
        <f>ROUND(2*E25,0)/2</f>
        <v>-14074</v>
      </c>
      <c r="G25">
        <f>+C25-(C$7+F25*C$8)</f>
        <v>8.4673400000610854E-2</v>
      </c>
      <c r="I25">
        <f>+G25</f>
        <v>8.4673400000610854E-2</v>
      </c>
      <c r="O25">
        <f ca="1">+C$11+C$12*$F25</f>
        <v>3.4890369829916806E-2</v>
      </c>
      <c r="Q25" s="2">
        <f>+C25-15018.5</f>
        <v>10816.904999999999</v>
      </c>
    </row>
    <row r="26" spans="1:18" ht="12.95" customHeight="1" x14ac:dyDescent="0.2">
      <c r="A26" t="s">
        <v>56</v>
      </c>
      <c r="B26" t="s">
        <v>43</v>
      </c>
      <c r="C26" s="8">
        <v>26095.548999999999</v>
      </c>
      <c r="D26" s="8" t="s">
        <v>34</v>
      </c>
      <c r="E26">
        <f>+(C26-C$7)/C$8</f>
        <v>-13947.022583241187</v>
      </c>
      <c r="F26">
        <f>ROUND(2*E26,0)/2</f>
        <v>-13947</v>
      </c>
      <c r="G26">
        <f>+C26-(C$7+F26*C$8)</f>
        <v>-4.62822999979835E-2</v>
      </c>
      <c r="I26">
        <f>+G26</f>
        <v>-4.62822999979835E-2</v>
      </c>
      <c r="O26">
        <f ca="1">+C$11+C$12*$F26</f>
        <v>3.4347312054978152E-2</v>
      </c>
      <c r="Q26" s="2">
        <f>+C26-15018.5</f>
        <v>11077.048999999999</v>
      </c>
    </row>
    <row r="27" spans="1:18" ht="12.95" customHeight="1" x14ac:dyDescent="0.2">
      <c r="A27" t="s">
        <v>56</v>
      </c>
      <c r="B27" t="s">
        <v>111</v>
      </c>
      <c r="C27" s="8">
        <v>26207.366999999998</v>
      </c>
      <c r="D27" s="8" t="s">
        <v>34</v>
      </c>
      <c r="E27">
        <f>+(C27-C$7)/C$8</f>
        <v>-13892.461490485231</v>
      </c>
      <c r="F27">
        <f>ROUND(2*E27,0)/2</f>
        <v>-13892.5</v>
      </c>
      <c r="G27">
        <f>+C27-(C$7+F27*C$8)</f>
        <v>7.8921750002336921E-2</v>
      </c>
      <c r="I27">
        <f>+G27</f>
        <v>7.8921750002336921E-2</v>
      </c>
      <c r="O27">
        <f ca="1">+C$11+C$12*$F27</f>
        <v>3.4114267576756438E-2</v>
      </c>
      <c r="Q27" s="2">
        <f>+C27-15018.5</f>
        <v>11188.866999999998</v>
      </c>
    </row>
    <row r="28" spans="1:18" ht="12.95" customHeight="1" x14ac:dyDescent="0.2">
      <c r="A28" t="s">
        <v>61</v>
      </c>
      <c r="B28" t="s">
        <v>43</v>
      </c>
      <c r="C28" s="8">
        <v>26247.338</v>
      </c>
      <c r="D28" s="8" t="s">
        <v>34</v>
      </c>
      <c r="E28">
        <f>+(C28-C$7)/C$8</f>
        <v>-13872.95781989062</v>
      </c>
      <c r="F28">
        <f>ROUND(2*E28,0)/2</f>
        <v>-13873</v>
      </c>
      <c r="G28">
        <f>+C28-(C$7+F28*C$8)</f>
        <v>8.6444300002767704E-2</v>
      </c>
      <c r="I28">
        <f>+G28</f>
        <v>8.6444300002767704E-2</v>
      </c>
      <c r="O28">
        <f ca="1">+C$11+C$12*$F28</f>
        <v>3.4030884690053262E-2</v>
      </c>
      <c r="Q28" s="2">
        <f>+C28-15018.5</f>
        <v>11228.838</v>
      </c>
    </row>
    <row r="29" spans="1:18" ht="12.95" customHeight="1" x14ac:dyDescent="0.2">
      <c r="A29" t="s">
        <v>56</v>
      </c>
      <c r="B29" t="s">
        <v>43</v>
      </c>
      <c r="C29" s="8">
        <v>26505.46</v>
      </c>
      <c r="D29" s="8" t="s">
        <v>34</v>
      </c>
      <c r="E29">
        <f>+(C29-C$7)/C$8</f>
        <v>-13747.008344990758</v>
      </c>
      <c r="F29">
        <f>ROUND(2*E29,0)/2</f>
        <v>-13747</v>
      </c>
      <c r="G29">
        <f>+C29-(C$7+F29*C$8)</f>
        <v>-1.7102299996622605E-2</v>
      </c>
      <c r="I29">
        <f>+G29</f>
        <v>-1.7102299996622605E-2</v>
      </c>
      <c r="O29">
        <f ca="1">+C$11+C$12*$F29</f>
        <v>3.3492102960586564E-2</v>
      </c>
      <c r="Q29" s="2">
        <f>+C29-15018.5</f>
        <v>11486.96</v>
      </c>
    </row>
    <row r="30" spans="1:18" ht="12.95" customHeight="1" x14ac:dyDescent="0.2">
      <c r="A30" t="s">
        <v>61</v>
      </c>
      <c r="B30" t="s">
        <v>43</v>
      </c>
      <c r="C30" s="8">
        <v>26546.492999999999</v>
      </c>
      <c r="D30" s="8" t="s">
        <v>34</v>
      </c>
      <c r="E30">
        <f>+(C30-C$7)/C$8</f>
        <v>-13726.986476248201</v>
      </c>
      <c r="F30">
        <f>ROUND(2*E30,0)/2</f>
        <v>-13727</v>
      </c>
      <c r="G30">
        <f>+C30-(C$7+F30*C$8)</f>
        <v>2.7715700001863297E-2</v>
      </c>
      <c r="I30">
        <f>+G30</f>
        <v>2.7715700001863297E-2</v>
      </c>
      <c r="O30">
        <f ca="1">+C$11+C$12*$F30</f>
        <v>3.340658205114741E-2</v>
      </c>
      <c r="Q30" s="2">
        <f>+C30-15018.5</f>
        <v>11527.992999999999</v>
      </c>
    </row>
    <row r="31" spans="1:18" ht="12.95" customHeight="1" x14ac:dyDescent="0.2">
      <c r="A31" t="s">
        <v>56</v>
      </c>
      <c r="B31" t="s">
        <v>43</v>
      </c>
      <c r="C31" s="8">
        <v>31647.452000000001</v>
      </c>
      <c r="D31" s="8" t="s">
        <v>34</v>
      </c>
      <c r="E31">
        <f>+(C31-C$7)/C$8</f>
        <v>-11237.996357096295</v>
      </c>
      <c r="F31">
        <f>ROUND(2*E31,0)/2</f>
        <v>-11238</v>
      </c>
      <c r="G31">
        <f>+C31-(C$7+F31*C$8)</f>
        <v>7.4658000048657414E-3</v>
      </c>
      <c r="I31">
        <f>+G31</f>
        <v>7.4658000048657414E-3</v>
      </c>
      <c r="O31">
        <f ca="1">+C$11+C$12*$F31</f>
        <v>2.2763504871444181E-2</v>
      </c>
      <c r="Q31" s="2">
        <f>+C31-15018.5</f>
        <v>16628.952000000001</v>
      </c>
    </row>
    <row r="32" spans="1:18" ht="12.95" customHeight="1" x14ac:dyDescent="0.2">
      <c r="A32" t="s">
        <v>56</v>
      </c>
      <c r="B32" t="s">
        <v>43</v>
      </c>
      <c r="C32" s="8">
        <v>33473.478999999999</v>
      </c>
      <c r="D32" s="8" t="s">
        <v>34</v>
      </c>
      <c r="E32">
        <f>+(C32-C$7)/C$8</f>
        <v>-10346.994653239315</v>
      </c>
      <c r="F32">
        <f>ROUND(2*E32,0)/2</f>
        <v>-10347</v>
      </c>
      <c r="G32">
        <f>+C32-(C$7+F32*C$8)</f>
        <v>1.0957700003928039E-2</v>
      </c>
      <c r="I32">
        <f>+G32</f>
        <v>1.0957700003928039E-2</v>
      </c>
      <c r="O32">
        <f ca="1">+C$11+C$12*$F32</f>
        <v>1.8953548355929686E-2</v>
      </c>
      <c r="Q32" s="2">
        <f>+C32-15018.5</f>
        <v>18454.978999999999</v>
      </c>
    </row>
    <row r="33" spans="1:17" ht="12.95" customHeight="1" x14ac:dyDescent="0.2">
      <c r="A33" t="s">
        <v>56</v>
      </c>
      <c r="B33" t="s">
        <v>43</v>
      </c>
      <c r="C33" s="8">
        <v>33514.410000000003</v>
      </c>
      <c r="D33" s="8" t="s">
        <v>34</v>
      </c>
      <c r="E33">
        <f>+(C33-C$7)/C$8</f>
        <v>-10327.022554940346</v>
      </c>
      <c r="F33">
        <f>ROUND(2*E33,0)/2</f>
        <v>-10327</v>
      </c>
      <c r="G33">
        <f>+C33-(C$7+F33*C$8)</f>
        <v>-4.6224299992900342E-2</v>
      </c>
      <c r="I33">
        <f>+G33</f>
        <v>-4.6224299992900342E-2</v>
      </c>
      <c r="O33">
        <f ca="1">+C$11+C$12*$F33</f>
        <v>1.8868027446490531E-2</v>
      </c>
      <c r="Q33" s="2">
        <f>+C33-15018.5</f>
        <v>18495.910000000003</v>
      </c>
    </row>
    <row r="34" spans="1:17" ht="12.95" customHeight="1" x14ac:dyDescent="0.2">
      <c r="A34" t="s">
        <v>99</v>
      </c>
      <c r="B34" t="s">
        <v>111</v>
      </c>
      <c r="C34" s="8">
        <v>42639.362999999998</v>
      </c>
      <c r="D34" s="8" t="s">
        <v>34</v>
      </c>
      <c r="E34">
        <f>+(C34-C$7)/C$8</f>
        <v>-5874.5425693679217</v>
      </c>
      <c r="F34">
        <f>ROUND(2*E34,0)/2</f>
        <v>-5874.5</v>
      </c>
      <c r="G34">
        <f>+C34-(C$7+F34*C$8)</f>
        <v>-8.7242050001805183E-2</v>
      </c>
      <c r="I34">
        <f>+G34</f>
        <v>-8.7242050001805183E-2</v>
      </c>
      <c r="O34">
        <f ca="1">+C$11+C$12*$F34</f>
        <v>-1.7106501740204658E-4</v>
      </c>
      <c r="Q34" s="2">
        <f>+C34-15018.5</f>
        <v>27620.862999999998</v>
      </c>
    </row>
    <row r="35" spans="1:17" ht="12.95" customHeight="1" x14ac:dyDescent="0.2">
      <c r="A35" t="s">
        <v>103</v>
      </c>
      <c r="B35" t="s">
        <v>111</v>
      </c>
      <c r="C35" s="8">
        <v>43721.432999999997</v>
      </c>
      <c r="D35" s="8" t="s">
        <v>34</v>
      </c>
      <c r="E35">
        <f>+(C35-C$7)/C$8</f>
        <v>-5346.5513547295168</v>
      </c>
      <c r="F35">
        <f>ROUND(2*E35,0)/2</f>
        <v>-5346.5</v>
      </c>
      <c r="G35">
        <f>+C35-(C$7+F35*C$8)</f>
        <v>-0.10524684999836609</v>
      </c>
      <c r="I35">
        <f>+G35</f>
        <v>-0.10524684999836609</v>
      </c>
      <c r="O35">
        <f ca="1">+C$11+C$12*$F35</f>
        <v>-2.4288170265958191E-3</v>
      </c>
      <c r="Q35" s="2">
        <f>+C35-15018.5</f>
        <v>28702.932999999997</v>
      </c>
    </row>
    <row r="36" spans="1:17" ht="12.95" customHeight="1" x14ac:dyDescent="0.2">
      <c r="A36" s="75" t="s">
        <v>123</v>
      </c>
      <c r="C36" s="8">
        <v>54678.703999999998</v>
      </c>
      <c r="D36" s="8"/>
      <c r="E36">
        <f>+(C36-C$7)/C$8</f>
        <v>0</v>
      </c>
      <c r="F36">
        <f>ROUND(2*E36,0)/2</f>
        <v>0</v>
      </c>
      <c r="G36">
        <f>+C36-(C$7+F36*C$8)</f>
        <v>0</v>
      </c>
      <c r="K36">
        <f>+G36</f>
        <v>0</v>
      </c>
      <c r="O36">
        <f ca="1">+C$11+C$12*$F36</f>
        <v>-2.5290694142418763E-2</v>
      </c>
      <c r="Q36" s="2">
        <f>+C36-15018.5</f>
        <v>39660.203999999998</v>
      </c>
    </row>
    <row r="37" spans="1:17" ht="12.95" customHeight="1" x14ac:dyDescent="0.2">
      <c r="A37" s="37" t="s">
        <v>42</v>
      </c>
      <c r="B37" s="38" t="s">
        <v>43</v>
      </c>
      <c r="C37" s="39">
        <v>57199.47</v>
      </c>
      <c r="D37" s="39">
        <v>0.01</v>
      </c>
      <c r="E37">
        <f>+(C37-C$7)/C$8</f>
        <v>1229.9964902078375</v>
      </c>
      <c r="F37">
        <f>ROUND(2*E37,0)/2</f>
        <v>1230</v>
      </c>
      <c r="G37">
        <f>+C37-(C$7+F37*C$8)</f>
        <v>-7.1929999976418912E-3</v>
      </c>
      <c r="K37">
        <f>+G37</f>
        <v>-7.1929999976418912E-3</v>
      </c>
      <c r="O37">
        <f ca="1">+C$11+C$12*$F37</f>
        <v>-3.0550230072926989E-2</v>
      </c>
      <c r="Q37" s="2">
        <f>+C37-15018.5</f>
        <v>42180.97</v>
      </c>
    </row>
    <row r="38" spans="1:17" ht="12.95" customHeight="1" x14ac:dyDescent="0.2">
      <c r="A38" t="s">
        <v>110</v>
      </c>
      <c r="B38" t="s">
        <v>43</v>
      </c>
      <c r="C38" s="8">
        <v>57199.47</v>
      </c>
      <c r="D38" s="8" t="s">
        <v>34</v>
      </c>
      <c r="E38">
        <f>+(C38-C$7)/C$8</f>
        <v>1229.9964902078375</v>
      </c>
      <c r="F38">
        <f>ROUND(2*E38,0)/2</f>
        <v>1230</v>
      </c>
      <c r="G38">
        <f>+C38-(C$7+F38*C$8)</f>
        <v>-7.1929999976418912E-3</v>
      </c>
      <c r="K38">
        <f>+G38</f>
        <v>-7.1929999976418912E-3</v>
      </c>
      <c r="O38">
        <f ca="1">+C$11+C$12*$F38</f>
        <v>-3.0550230072926989E-2</v>
      </c>
      <c r="Q38" s="2">
        <f>+C38-15018.5</f>
        <v>42180.97</v>
      </c>
    </row>
    <row r="39" spans="1:17" ht="12.95" customHeight="1" x14ac:dyDescent="0.2">
      <c r="A39" s="53" t="s">
        <v>115</v>
      </c>
      <c r="B39" s="54" t="s">
        <v>43</v>
      </c>
      <c r="C39" s="55">
        <v>59105.406000000003</v>
      </c>
      <c r="D39" s="55">
        <v>5.0000000000000001E-4</v>
      </c>
      <c r="E39">
        <f>+(C39-C$7)/C$8</f>
        <v>2159.989433051705</v>
      </c>
      <c r="F39">
        <f>ROUND(2*E39,0)/2</f>
        <v>2160</v>
      </c>
      <c r="G39">
        <f>+C39-(C$7+F39*C$8)</f>
        <v>-2.1655999997165054E-2</v>
      </c>
      <c r="K39">
        <f>+G39</f>
        <v>-2.1655999997165054E-2</v>
      </c>
      <c r="O39">
        <f ca="1">+C$11+C$12*$F39</f>
        <v>-3.4526952361847843E-2</v>
      </c>
      <c r="Q39" s="2">
        <f>+C39-15018.5</f>
        <v>44086.906000000003</v>
      </c>
    </row>
    <row r="40" spans="1:17" ht="12.95" customHeight="1" x14ac:dyDescent="0.2">
      <c r="A40" s="57" t="s">
        <v>116</v>
      </c>
      <c r="B40" s="56" t="s">
        <v>43</v>
      </c>
      <c r="C40" s="59">
        <v>59437.417800000003</v>
      </c>
      <c r="D40" s="57">
        <v>2.0000000000000001E-4</v>
      </c>
      <c r="E40">
        <f>+(C40-C$7)/C$8</f>
        <v>2321.9931052321399</v>
      </c>
      <c r="F40">
        <f>ROUND(2*E40,0)/2</f>
        <v>2322</v>
      </c>
      <c r="G40">
        <f>+C40-(C$7+F40*C$8)</f>
        <v>-1.4130199997453019E-2</v>
      </c>
      <c r="K40">
        <f>+G40</f>
        <v>-1.4130199997453019E-2</v>
      </c>
      <c r="O40">
        <f ca="1">+C$11+C$12*$F40</f>
        <v>-3.5219671728305021E-2</v>
      </c>
      <c r="Q40" s="2">
        <f>+C40-15018.5</f>
        <v>44418.917800000003</v>
      </c>
    </row>
    <row r="41" spans="1:17" ht="12.95" customHeight="1" x14ac:dyDescent="0.25">
      <c r="A41" s="60" t="s">
        <v>118</v>
      </c>
      <c r="B41" s="61" t="s">
        <v>43</v>
      </c>
      <c r="C41" s="62">
        <v>60224.387300000002</v>
      </c>
      <c r="D41" s="62">
        <v>2.0000000000000001E-4</v>
      </c>
      <c r="E41">
        <f>+(C41-C$7)/C$8</f>
        <v>2705.991351360743</v>
      </c>
      <c r="F41">
        <f>ROUND(2*E41,0)/2</f>
        <v>2706</v>
      </c>
      <c r="G41">
        <f>+C41-(C$7+F41*C$8)</f>
        <v>-1.7724599994835444E-2</v>
      </c>
      <c r="K41">
        <f>+G41</f>
        <v>-1.7724599994835444E-2</v>
      </c>
      <c r="O41">
        <f ca="1">+C$11+C$12*$F41</f>
        <v>-3.6861673189536856E-2</v>
      </c>
      <c r="Q41" s="2">
        <f>+C41-15018.5</f>
        <v>45205.887300000002</v>
      </c>
    </row>
    <row r="42" spans="1:17" ht="12.95" customHeight="1" x14ac:dyDescent="0.2">
      <c r="C42" s="8"/>
      <c r="D42" s="8"/>
    </row>
    <row r="43" spans="1:17" ht="12.95" customHeight="1" x14ac:dyDescent="0.2">
      <c r="C43" s="8"/>
      <c r="D43" s="8"/>
    </row>
    <row r="44" spans="1:17" ht="12.95" customHeight="1" x14ac:dyDescent="0.2">
      <c r="C44" s="8"/>
      <c r="D44" s="8"/>
    </row>
    <row r="45" spans="1:17" ht="12.95" customHeight="1" x14ac:dyDescent="0.2">
      <c r="C45" s="8"/>
      <c r="D45" s="8"/>
    </row>
    <row r="46" spans="1:17" ht="12.95" customHeight="1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T54">
    <sortCondition ref="C21:C5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0"/>
  <sheetViews>
    <sheetView workbookViewId="0">
      <selection activeCell="A12" sqref="A12:D2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0" t="s">
        <v>44</v>
      </c>
      <c r="I1" s="41" t="s">
        <v>45</v>
      </c>
      <c r="J1" s="42" t="s">
        <v>36</v>
      </c>
    </row>
    <row r="2" spans="1:16" x14ac:dyDescent="0.2">
      <c r="I2" s="43" t="s">
        <v>46</v>
      </c>
      <c r="J2" s="44" t="s">
        <v>35</v>
      </c>
    </row>
    <row r="3" spans="1:16" x14ac:dyDescent="0.2">
      <c r="A3" s="45" t="s">
        <v>47</v>
      </c>
      <c r="I3" s="43" t="s">
        <v>48</v>
      </c>
      <c r="J3" s="44" t="s">
        <v>33</v>
      </c>
    </row>
    <row r="4" spans="1:16" x14ac:dyDescent="0.2">
      <c r="I4" s="43" t="s">
        <v>49</v>
      </c>
      <c r="J4" s="44" t="s">
        <v>33</v>
      </c>
    </row>
    <row r="5" spans="1:16" ht="13.5" thickBot="1" x14ac:dyDescent="0.25">
      <c r="I5" s="46" t="s">
        <v>50</v>
      </c>
      <c r="J5" s="47" t="s">
        <v>34</v>
      </c>
    </row>
    <row r="10" spans="1:16" ht="13.5" thickBot="1" x14ac:dyDescent="0.25"/>
    <row r="11" spans="1:16" ht="12.75" customHeight="1" thickBot="1" x14ac:dyDescent="0.25">
      <c r="A11" s="8" t="str">
        <f t="shared" ref="A11:A26" si="0">P11</f>
        <v> VSS 2.123 </v>
      </c>
      <c r="B11" s="3" t="str">
        <f t="shared" ref="B11:B26" si="1">IF(H11=INT(H11),"I","II")</f>
        <v>I</v>
      </c>
      <c r="C11" s="8">
        <f t="shared" ref="C11:C26" si="2">1*G11</f>
        <v>25503.319</v>
      </c>
      <c r="D11" s="10" t="str">
        <f t="shared" ref="D11:D26" si="3">VLOOKUP(F11,I$1:J$5,2,FALSE)</f>
        <v>vis</v>
      </c>
      <c r="E11" s="48" t="e">
        <f>VLOOKUP(C11,Active!C$21:E$972,3,FALSE)</f>
        <v>#N/A</v>
      </c>
      <c r="F11" s="3" t="s">
        <v>50</v>
      </c>
      <c r="G11" s="10" t="str">
        <f t="shared" ref="G11:G26" si="4">MID(I11,3,LEN(I11)-3)</f>
        <v>25503.319</v>
      </c>
      <c r="H11" s="8">
        <f t="shared" ref="H11:H26" si="5">1*K11</f>
        <v>-14236</v>
      </c>
      <c r="I11" s="49" t="s">
        <v>51</v>
      </c>
      <c r="J11" s="50" t="s">
        <v>52</v>
      </c>
      <c r="K11" s="49">
        <v>-14236</v>
      </c>
      <c r="L11" s="49" t="s">
        <v>53</v>
      </c>
      <c r="M11" s="50" t="s">
        <v>54</v>
      </c>
      <c r="N11" s="50"/>
      <c r="O11" s="51" t="s">
        <v>55</v>
      </c>
      <c r="P11" s="51" t="s">
        <v>56</v>
      </c>
    </row>
    <row r="12" spans="1:16" ht="12.75" customHeight="1" thickBot="1" x14ac:dyDescent="0.25">
      <c r="A12" s="8" t="str">
        <f t="shared" si="0"/>
        <v> KVBB 19.32 </v>
      </c>
      <c r="B12" s="3" t="str">
        <f t="shared" si="1"/>
        <v>I</v>
      </c>
      <c r="C12" s="8">
        <f t="shared" si="2"/>
        <v>25503.355</v>
      </c>
      <c r="D12" s="10" t="str">
        <f t="shared" si="3"/>
        <v>vis</v>
      </c>
      <c r="E12" s="48">
        <f>VLOOKUP(C12,Active!C$21:E$972,3,FALSE)</f>
        <v>-14235.980995692855</v>
      </c>
      <c r="F12" s="3" t="s">
        <v>50</v>
      </c>
      <c r="G12" s="10" t="str">
        <f t="shared" si="4"/>
        <v>25503.355</v>
      </c>
      <c r="H12" s="8">
        <f t="shared" si="5"/>
        <v>-14236</v>
      </c>
      <c r="I12" s="49" t="s">
        <v>57</v>
      </c>
      <c r="J12" s="50" t="s">
        <v>58</v>
      </c>
      <c r="K12" s="49">
        <v>-14236</v>
      </c>
      <c r="L12" s="49" t="s">
        <v>59</v>
      </c>
      <c r="M12" s="50" t="s">
        <v>54</v>
      </c>
      <c r="N12" s="50"/>
      <c r="O12" s="51" t="s">
        <v>60</v>
      </c>
      <c r="P12" s="51" t="s">
        <v>61</v>
      </c>
    </row>
    <row r="13" spans="1:16" ht="12.75" customHeight="1" thickBot="1" x14ac:dyDescent="0.25">
      <c r="A13" s="8" t="str">
        <f t="shared" si="0"/>
        <v> KVBB 19.32 </v>
      </c>
      <c r="B13" s="3" t="str">
        <f t="shared" si="1"/>
        <v>I</v>
      </c>
      <c r="C13" s="8">
        <f t="shared" si="2"/>
        <v>25792.446</v>
      </c>
      <c r="D13" s="10" t="str">
        <f t="shared" si="3"/>
        <v>vis</v>
      </c>
      <c r="E13" s="48">
        <f>VLOOKUP(C13,Active!C$21:E$972,3,FALSE)</f>
        <v>-14094.920335817771</v>
      </c>
      <c r="F13" s="3" t="s">
        <v>50</v>
      </c>
      <c r="G13" s="10" t="str">
        <f t="shared" si="4"/>
        <v>25792.446</v>
      </c>
      <c r="H13" s="8">
        <f t="shared" si="5"/>
        <v>-14095</v>
      </c>
      <c r="I13" s="49" t="s">
        <v>62</v>
      </c>
      <c r="J13" s="50" t="s">
        <v>63</v>
      </c>
      <c r="K13" s="49">
        <v>-14095</v>
      </c>
      <c r="L13" s="49" t="s">
        <v>64</v>
      </c>
      <c r="M13" s="50" t="s">
        <v>54</v>
      </c>
      <c r="N13" s="50"/>
      <c r="O13" s="51" t="s">
        <v>60</v>
      </c>
      <c r="P13" s="51" t="s">
        <v>61</v>
      </c>
    </row>
    <row r="14" spans="1:16" ht="12.75" customHeight="1" thickBot="1" x14ac:dyDescent="0.25">
      <c r="A14" s="8" t="str">
        <f t="shared" si="0"/>
        <v> KVBB 19.32 </v>
      </c>
      <c r="B14" s="3" t="str">
        <f t="shared" si="1"/>
        <v>I</v>
      </c>
      <c r="C14" s="8">
        <f t="shared" si="2"/>
        <v>25798.444</v>
      </c>
      <c r="D14" s="10" t="str">
        <f t="shared" si="3"/>
        <v>vis</v>
      </c>
      <c r="E14" s="48">
        <f>VLOOKUP(C14,Active!C$21:E$972,3,FALSE)</f>
        <v>-14091.993638556594</v>
      </c>
      <c r="F14" s="3" t="s">
        <v>50</v>
      </c>
      <c r="G14" s="10" t="str">
        <f t="shared" si="4"/>
        <v>25798.444</v>
      </c>
      <c r="H14" s="8">
        <f t="shared" si="5"/>
        <v>-14092</v>
      </c>
      <c r="I14" s="49" t="s">
        <v>65</v>
      </c>
      <c r="J14" s="50" t="s">
        <v>66</v>
      </c>
      <c r="K14" s="49">
        <v>-14092</v>
      </c>
      <c r="L14" s="49" t="s">
        <v>67</v>
      </c>
      <c r="M14" s="50" t="s">
        <v>54</v>
      </c>
      <c r="N14" s="50"/>
      <c r="O14" s="51" t="s">
        <v>60</v>
      </c>
      <c r="P14" s="51" t="s">
        <v>61</v>
      </c>
    </row>
    <row r="15" spans="1:16" ht="12.75" customHeight="1" thickBot="1" x14ac:dyDescent="0.25">
      <c r="A15" s="8" t="str">
        <f t="shared" si="0"/>
        <v> KVBB 19.32 </v>
      </c>
      <c r="B15" s="3" t="str">
        <f t="shared" si="1"/>
        <v>I</v>
      </c>
      <c r="C15" s="8">
        <f t="shared" si="2"/>
        <v>25835.404999999999</v>
      </c>
      <c r="D15" s="10" t="str">
        <f t="shared" si="3"/>
        <v>vis</v>
      </c>
      <c r="E15" s="48">
        <f>VLOOKUP(C15,Active!C$21:E$972,3,FALSE)</f>
        <v>-14073.958683993351</v>
      </c>
      <c r="F15" s="3" t="s">
        <v>50</v>
      </c>
      <c r="G15" s="10" t="str">
        <f t="shared" si="4"/>
        <v>25835.405</v>
      </c>
      <c r="H15" s="8">
        <f t="shared" si="5"/>
        <v>-14074</v>
      </c>
      <c r="I15" s="49" t="s">
        <v>68</v>
      </c>
      <c r="J15" s="50" t="s">
        <v>69</v>
      </c>
      <c r="K15" s="49">
        <v>-14074</v>
      </c>
      <c r="L15" s="49" t="s">
        <v>70</v>
      </c>
      <c r="M15" s="50" t="s">
        <v>54</v>
      </c>
      <c r="N15" s="50"/>
      <c r="O15" s="51" t="s">
        <v>60</v>
      </c>
      <c r="P15" s="51" t="s">
        <v>61</v>
      </c>
    </row>
    <row r="16" spans="1:16" ht="12.75" customHeight="1" thickBot="1" x14ac:dyDescent="0.25">
      <c r="A16" s="8" t="str">
        <f t="shared" si="0"/>
        <v> VSS 2.123 </v>
      </c>
      <c r="B16" s="3" t="str">
        <f t="shared" si="1"/>
        <v>I</v>
      </c>
      <c r="C16" s="8">
        <f t="shared" si="2"/>
        <v>26095.548999999999</v>
      </c>
      <c r="D16" s="10" t="str">
        <f t="shared" si="3"/>
        <v>vis</v>
      </c>
      <c r="E16" s="48">
        <f>VLOOKUP(C16,Active!C$21:E$972,3,FALSE)</f>
        <v>-13947.022583241187</v>
      </c>
      <c r="F16" s="3" t="s">
        <v>50</v>
      </c>
      <c r="G16" s="10" t="str">
        <f t="shared" si="4"/>
        <v>26095.549</v>
      </c>
      <c r="H16" s="8">
        <f t="shared" si="5"/>
        <v>-13947</v>
      </c>
      <c r="I16" s="49" t="s">
        <v>71</v>
      </c>
      <c r="J16" s="50" t="s">
        <v>72</v>
      </c>
      <c r="K16" s="49">
        <v>-13947</v>
      </c>
      <c r="L16" s="49" t="s">
        <v>73</v>
      </c>
      <c r="M16" s="50" t="s">
        <v>54</v>
      </c>
      <c r="N16" s="50"/>
      <c r="O16" s="51" t="s">
        <v>55</v>
      </c>
      <c r="P16" s="51" t="s">
        <v>56</v>
      </c>
    </row>
    <row r="17" spans="1:16" ht="12.75" customHeight="1" thickBot="1" x14ac:dyDescent="0.25">
      <c r="A17" s="8" t="str">
        <f t="shared" si="0"/>
        <v> VSS 2.123 </v>
      </c>
      <c r="B17" s="3" t="str">
        <f t="shared" si="1"/>
        <v>II</v>
      </c>
      <c r="C17" s="8">
        <f t="shared" si="2"/>
        <v>26207.366999999998</v>
      </c>
      <c r="D17" s="10" t="str">
        <f t="shared" si="3"/>
        <v>vis</v>
      </c>
      <c r="E17" s="48">
        <f>VLOOKUP(C17,Active!C$21:E$972,3,FALSE)</f>
        <v>-13892.461490485231</v>
      </c>
      <c r="F17" s="3" t="s">
        <v>50</v>
      </c>
      <c r="G17" s="10" t="str">
        <f t="shared" si="4"/>
        <v>26207.367</v>
      </c>
      <c r="H17" s="8">
        <f t="shared" si="5"/>
        <v>-13892.5</v>
      </c>
      <c r="I17" s="49" t="s">
        <v>74</v>
      </c>
      <c r="J17" s="50" t="s">
        <v>75</v>
      </c>
      <c r="K17" s="49">
        <v>-13892.5</v>
      </c>
      <c r="L17" s="49" t="s">
        <v>76</v>
      </c>
      <c r="M17" s="50" t="s">
        <v>54</v>
      </c>
      <c r="N17" s="50"/>
      <c r="O17" s="51" t="s">
        <v>55</v>
      </c>
      <c r="P17" s="51" t="s">
        <v>56</v>
      </c>
    </row>
    <row r="18" spans="1:16" ht="12.75" customHeight="1" thickBot="1" x14ac:dyDescent="0.25">
      <c r="A18" s="8" t="str">
        <f t="shared" si="0"/>
        <v> KVBB 19.32 </v>
      </c>
      <c r="B18" s="3" t="str">
        <f t="shared" si="1"/>
        <v>I</v>
      </c>
      <c r="C18" s="8">
        <f t="shared" si="2"/>
        <v>26247.338</v>
      </c>
      <c r="D18" s="10" t="str">
        <f t="shared" si="3"/>
        <v>vis</v>
      </c>
      <c r="E18" s="48">
        <f>VLOOKUP(C18,Active!C$21:E$972,3,FALSE)</f>
        <v>-13872.95781989062</v>
      </c>
      <c r="F18" s="3" t="s">
        <v>50</v>
      </c>
      <c r="G18" s="10" t="str">
        <f t="shared" si="4"/>
        <v>26247.338</v>
      </c>
      <c r="H18" s="8">
        <f t="shared" si="5"/>
        <v>-13873</v>
      </c>
      <c r="I18" s="49" t="s">
        <v>77</v>
      </c>
      <c r="J18" s="50" t="s">
        <v>78</v>
      </c>
      <c r="K18" s="49">
        <v>-13873</v>
      </c>
      <c r="L18" s="49" t="s">
        <v>79</v>
      </c>
      <c r="M18" s="50" t="s">
        <v>54</v>
      </c>
      <c r="N18" s="50"/>
      <c r="O18" s="51" t="s">
        <v>60</v>
      </c>
      <c r="P18" s="51" t="s">
        <v>61</v>
      </c>
    </row>
    <row r="19" spans="1:16" ht="12.75" customHeight="1" thickBot="1" x14ac:dyDescent="0.25">
      <c r="A19" s="8" t="str">
        <f t="shared" si="0"/>
        <v> VSS 2.123 </v>
      </c>
      <c r="B19" s="3" t="str">
        <f t="shared" si="1"/>
        <v>I</v>
      </c>
      <c r="C19" s="8">
        <f t="shared" si="2"/>
        <v>26505.46</v>
      </c>
      <c r="D19" s="10" t="str">
        <f t="shared" si="3"/>
        <v>vis</v>
      </c>
      <c r="E19" s="48">
        <f>VLOOKUP(C19,Active!C$21:E$972,3,FALSE)</f>
        <v>-13747.008344990758</v>
      </c>
      <c r="F19" s="3" t="s">
        <v>50</v>
      </c>
      <c r="G19" s="10" t="str">
        <f t="shared" si="4"/>
        <v>26505.460</v>
      </c>
      <c r="H19" s="8">
        <f t="shared" si="5"/>
        <v>-13747</v>
      </c>
      <c r="I19" s="49" t="s">
        <v>80</v>
      </c>
      <c r="J19" s="50" t="s">
        <v>81</v>
      </c>
      <c r="K19" s="49">
        <v>-13747</v>
      </c>
      <c r="L19" s="49" t="s">
        <v>82</v>
      </c>
      <c r="M19" s="50" t="s">
        <v>54</v>
      </c>
      <c r="N19" s="50"/>
      <c r="O19" s="51" t="s">
        <v>55</v>
      </c>
      <c r="P19" s="51" t="s">
        <v>56</v>
      </c>
    </row>
    <row r="20" spans="1:16" ht="12.75" customHeight="1" thickBot="1" x14ac:dyDescent="0.25">
      <c r="A20" s="8" t="str">
        <f t="shared" si="0"/>
        <v> KVBB 19.32 </v>
      </c>
      <c r="B20" s="3" t="str">
        <f t="shared" si="1"/>
        <v>I</v>
      </c>
      <c r="C20" s="8">
        <f t="shared" si="2"/>
        <v>26546.492999999999</v>
      </c>
      <c r="D20" s="10" t="str">
        <f t="shared" si="3"/>
        <v>vis</v>
      </c>
      <c r="E20" s="48">
        <f>VLOOKUP(C20,Active!C$21:E$972,3,FALSE)</f>
        <v>-13726.986476248201</v>
      </c>
      <c r="F20" s="3" t="s">
        <v>50</v>
      </c>
      <c r="G20" s="10" t="str">
        <f t="shared" si="4"/>
        <v>26546.493</v>
      </c>
      <c r="H20" s="8">
        <f t="shared" si="5"/>
        <v>-13727</v>
      </c>
      <c r="I20" s="49" t="s">
        <v>83</v>
      </c>
      <c r="J20" s="50" t="s">
        <v>84</v>
      </c>
      <c r="K20" s="49">
        <v>-13727</v>
      </c>
      <c r="L20" s="49" t="s">
        <v>85</v>
      </c>
      <c r="M20" s="50" t="s">
        <v>54</v>
      </c>
      <c r="N20" s="50"/>
      <c r="O20" s="51" t="s">
        <v>60</v>
      </c>
      <c r="P20" s="51" t="s">
        <v>61</v>
      </c>
    </row>
    <row r="21" spans="1:16" ht="12.75" customHeight="1" thickBot="1" x14ac:dyDescent="0.25">
      <c r="A21" s="8" t="str">
        <f t="shared" si="0"/>
        <v> VSS 2.123 </v>
      </c>
      <c r="B21" s="3" t="str">
        <f t="shared" si="1"/>
        <v>I</v>
      </c>
      <c r="C21" s="8">
        <f t="shared" si="2"/>
        <v>31647.452000000001</v>
      </c>
      <c r="D21" s="10" t="str">
        <f t="shared" si="3"/>
        <v>vis</v>
      </c>
      <c r="E21" s="48">
        <f>VLOOKUP(C21,Active!C$21:E$972,3,FALSE)</f>
        <v>-11237.996357096295</v>
      </c>
      <c r="F21" s="3" t="s">
        <v>50</v>
      </c>
      <c r="G21" s="10" t="str">
        <f t="shared" si="4"/>
        <v>31647.452</v>
      </c>
      <c r="H21" s="8">
        <f t="shared" si="5"/>
        <v>-11238</v>
      </c>
      <c r="I21" s="49" t="s">
        <v>86</v>
      </c>
      <c r="J21" s="50" t="s">
        <v>87</v>
      </c>
      <c r="K21" s="49">
        <v>-11238</v>
      </c>
      <c r="L21" s="49" t="s">
        <v>88</v>
      </c>
      <c r="M21" s="50" t="s">
        <v>54</v>
      </c>
      <c r="N21" s="50"/>
      <c r="O21" s="51" t="s">
        <v>55</v>
      </c>
      <c r="P21" s="51" t="s">
        <v>56</v>
      </c>
    </row>
    <row r="22" spans="1:16" ht="12.75" customHeight="1" thickBot="1" x14ac:dyDescent="0.25">
      <c r="A22" s="8" t="str">
        <f t="shared" si="0"/>
        <v> VSS 2.123 </v>
      </c>
      <c r="B22" s="3" t="str">
        <f t="shared" si="1"/>
        <v>I</v>
      </c>
      <c r="C22" s="8">
        <f t="shared" si="2"/>
        <v>33473.478999999999</v>
      </c>
      <c r="D22" s="10" t="str">
        <f t="shared" si="3"/>
        <v>vis</v>
      </c>
      <c r="E22" s="48">
        <f>VLOOKUP(C22,Active!C$21:E$972,3,FALSE)</f>
        <v>-10346.994653239315</v>
      </c>
      <c r="F22" s="3" t="s">
        <v>50</v>
      </c>
      <c r="G22" s="10" t="str">
        <f t="shared" si="4"/>
        <v>33473.479</v>
      </c>
      <c r="H22" s="8">
        <f t="shared" si="5"/>
        <v>-10347</v>
      </c>
      <c r="I22" s="49" t="s">
        <v>89</v>
      </c>
      <c r="J22" s="50" t="s">
        <v>90</v>
      </c>
      <c r="K22" s="49">
        <v>-10347</v>
      </c>
      <c r="L22" s="49" t="s">
        <v>91</v>
      </c>
      <c r="M22" s="50" t="s">
        <v>54</v>
      </c>
      <c r="N22" s="50"/>
      <c r="O22" s="51" t="s">
        <v>55</v>
      </c>
      <c r="P22" s="51" t="s">
        <v>56</v>
      </c>
    </row>
    <row r="23" spans="1:16" ht="12.75" customHeight="1" thickBot="1" x14ac:dyDescent="0.25">
      <c r="A23" s="8" t="str">
        <f t="shared" si="0"/>
        <v> VSS 2.123 </v>
      </c>
      <c r="B23" s="3" t="str">
        <f t="shared" si="1"/>
        <v>I</v>
      </c>
      <c r="C23" s="8">
        <f t="shared" si="2"/>
        <v>33514.410000000003</v>
      </c>
      <c r="D23" s="10" t="str">
        <f t="shared" si="3"/>
        <v>vis</v>
      </c>
      <c r="E23" s="48">
        <f>VLOOKUP(C23,Active!C$21:E$972,3,FALSE)</f>
        <v>-10327.022554940346</v>
      </c>
      <c r="F23" s="3" t="s">
        <v>50</v>
      </c>
      <c r="G23" s="10" t="str">
        <f t="shared" si="4"/>
        <v>33514.410</v>
      </c>
      <c r="H23" s="8">
        <f t="shared" si="5"/>
        <v>-10327</v>
      </c>
      <c r="I23" s="49" t="s">
        <v>92</v>
      </c>
      <c r="J23" s="50" t="s">
        <v>93</v>
      </c>
      <c r="K23" s="49">
        <v>-10327</v>
      </c>
      <c r="L23" s="49" t="s">
        <v>73</v>
      </c>
      <c r="M23" s="50" t="s">
        <v>54</v>
      </c>
      <c r="N23" s="50"/>
      <c r="O23" s="51" t="s">
        <v>55</v>
      </c>
      <c r="P23" s="51" t="s">
        <v>56</v>
      </c>
    </row>
    <row r="24" spans="1:16" ht="12.75" customHeight="1" thickBot="1" x14ac:dyDescent="0.25">
      <c r="A24" s="8" t="str">
        <f t="shared" si="0"/>
        <v> MVS 7.149 </v>
      </c>
      <c r="B24" s="3" t="str">
        <f t="shared" si="1"/>
        <v>II</v>
      </c>
      <c r="C24" s="8">
        <f t="shared" si="2"/>
        <v>42639.362999999998</v>
      </c>
      <c r="D24" s="10" t="str">
        <f t="shared" si="3"/>
        <v>vis</v>
      </c>
      <c r="E24" s="48">
        <f>VLOOKUP(C24,Active!C$21:E$972,3,FALSE)</f>
        <v>-5874.5425693679217</v>
      </c>
      <c r="F24" s="3" t="s">
        <v>50</v>
      </c>
      <c r="G24" s="10" t="str">
        <f t="shared" si="4"/>
        <v>42639.363</v>
      </c>
      <c r="H24" s="8">
        <f t="shared" si="5"/>
        <v>-5874.5</v>
      </c>
      <c r="I24" s="49" t="s">
        <v>94</v>
      </c>
      <c r="J24" s="50" t="s">
        <v>95</v>
      </c>
      <c r="K24" s="49">
        <v>-5874.5</v>
      </c>
      <c r="L24" s="49" t="s">
        <v>96</v>
      </c>
      <c r="M24" s="50" t="s">
        <v>97</v>
      </c>
      <c r="N24" s="50"/>
      <c r="O24" s="51" t="s">
        <v>98</v>
      </c>
      <c r="P24" s="51" t="s">
        <v>99</v>
      </c>
    </row>
    <row r="25" spans="1:16" ht="12.75" customHeight="1" thickBot="1" x14ac:dyDescent="0.25">
      <c r="A25" s="8" t="str">
        <f t="shared" si="0"/>
        <v> MVS 8.136 </v>
      </c>
      <c r="B25" s="3" t="str">
        <f t="shared" si="1"/>
        <v>II</v>
      </c>
      <c r="C25" s="8">
        <f t="shared" si="2"/>
        <v>43721.432999999997</v>
      </c>
      <c r="D25" s="10" t="str">
        <f t="shared" si="3"/>
        <v>vis</v>
      </c>
      <c r="E25" s="48">
        <f>VLOOKUP(C25,Active!C$21:E$972,3,FALSE)</f>
        <v>-5346.5513547295168</v>
      </c>
      <c r="F25" s="3" t="s">
        <v>50</v>
      </c>
      <c r="G25" s="10" t="str">
        <f t="shared" si="4"/>
        <v>43721.433</v>
      </c>
      <c r="H25" s="8">
        <f t="shared" si="5"/>
        <v>-5346.5</v>
      </c>
      <c r="I25" s="49" t="s">
        <v>100</v>
      </c>
      <c r="J25" s="50" t="s">
        <v>101</v>
      </c>
      <c r="K25" s="49">
        <v>-5346.5</v>
      </c>
      <c r="L25" s="49" t="s">
        <v>102</v>
      </c>
      <c r="M25" s="50" t="s">
        <v>97</v>
      </c>
      <c r="N25" s="50"/>
      <c r="O25" s="51" t="s">
        <v>98</v>
      </c>
      <c r="P25" s="51" t="s">
        <v>103</v>
      </c>
    </row>
    <row r="26" spans="1:16" ht="12.75" customHeight="1" thickBot="1" x14ac:dyDescent="0.25">
      <c r="A26" s="8" t="str">
        <f t="shared" si="0"/>
        <v>OEJV 0172 </v>
      </c>
      <c r="B26" s="3" t="str">
        <f t="shared" si="1"/>
        <v>I</v>
      </c>
      <c r="C26" s="8">
        <f t="shared" si="2"/>
        <v>57199.47</v>
      </c>
      <c r="D26" s="10" t="str">
        <f t="shared" si="3"/>
        <v>vis</v>
      </c>
      <c r="E26" s="48">
        <f>VLOOKUP(C26,Active!C$21:E$972,3,FALSE)</f>
        <v>1229.9964902078375</v>
      </c>
      <c r="F26" s="3" t="s">
        <v>50</v>
      </c>
      <c r="G26" s="10" t="str">
        <f t="shared" si="4"/>
        <v>57199.470</v>
      </c>
      <c r="H26" s="8">
        <f t="shared" si="5"/>
        <v>1230</v>
      </c>
      <c r="I26" s="49" t="s">
        <v>104</v>
      </c>
      <c r="J26" s="50" t="s">
        <v>105</v>
      </c>
      <c r="K26" s="49">
        <v>1230</v>
      </c>
      <c r="L26" s="49" t="s">
        <v>106</v>
      </c>
      <c r="M26" s="50" t="s">
        <v>107</v>
      </c>
      <c r="N26" s="50" t="s">
        <v>108</v>
      </c>
      <c r="O26" s="51" t="s">
        <v>109</v>
      </c>
      <c r="P26" s="52" t="s">
        <v>110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</sheetData>
  <phoneticPr fontId="7" type="noConversion"/>
  <hyperlinks>
    <hyperlink ref="A3" r:id="rId1" xr:uid="{00000000-0004-0000-0100-000000000000}"/>
    <hyperlink ref="P26" r:id="rId2" display="http://var.astro.cz/oejv/issues/oejv0172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2024-09-16T07:35:06Z</dcterms:modified>
</cp:coreProperties>
</file>