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0C8E554-5C28-4BE4-802C-E28B1301BB4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24" i="2" l="1"/>
  <c r="F24" i="2"/>
  <c r="E34" i="2"/>
  <c r="F34" i="2"/>
  <c r="E28" i="2"/>
  <c r="F28" i="2"/>
  <c r="E38" i="2"/>
  <c r="F38" i="2"/>
  <c r="E43" i="2"/>
  <c r="F43" i="2"/>
  <c r="E53" i="2"/>
  <c r="F53" i="2"/>
  <c r="E48" i="2"/>
  <c r="F48" i="2"/>
  <c r="E30" i="2"/>
  <c r="F30" i="2"/>
  <c r="E32" i="2"/>
  <c r="F32" i="2"/>
  <c r="Q21" i="2"/>
  <c r="Q22" i="2"/>
  <c r="Q23" i="2"/>
  <c r="Q24" i="2"/>
  <c r="Q25" i="2"/>
  <c r="Q26" i="2"/>
  <c r="Q27" i="2"/>
  <c r="Q34" i="2"/>
  <c r="Q47" i="2"/>
  <c r="G36" i="3"/>
  <c r="C36" i="3"/>
  <c r="G37" i="3"/>
  <c r="C37" i="3"/>
  <c r="G38" i="3"/>
  <c r="C38" i="3"/>
  <c r="E38" i="3"/>
  <c r="G39" i="3"/>
  <c r="C39" i="3"/>
  <c r="G40" i="3"/>
  <c r="C40" i="3"/>
  <c r="G41" i="3"/>
  <c r="C41" i="3"/>
  <c r="G11" i="3"/>
  <c r="C11" i="3"/>
  <c r="E11" i="3"/>
  <c r="G12" i="3"/>
  <c r="C12" i="3"/>
  <c r="G13" i="3"/>
  <c r="C13" i="3"/>
  <c r="E13" i="3"/>
  <c r="G14" i="3"/>
  <c r="C14" i="3"/>
  <c r="G15" i="3"/>
  <c r="C15" i="3"/>
  <c r="E15" i="3"/>
  <c r="G16" i="3"/>
  <c r="C16" i="3"/>
  <c r="G42" i="3"/>
  <c r="C42" i="3"/>
  <c r="E42" i="3"/>
  <c r="G17" i="3"/>
  <c r="C17" i="3"/>
  <c r="G18" i="3"/>
  <c r="C18" i="3"/>
  <c r="G19" i="3"/>
  <c r="C19" i="3"/>
  <c r="G20" i="3"/>
  <c r="C20" i="3"/>
  <c r="E20" i="3"/>
  <c r="G21" i="3"/>
  <c r="C21" i="3"/>
  <c r="G22" i="3"/>
  <c r="C22" i="3"/>
  <c r="G23" i="3"/>
  <c r="C23" i="3"/>
  <c r="G24" i="3"/>
  <c r="C24" i="3"/>
  <c r="G25" i="3"/>
  <c r="C25" i="3"/>
  <c r="G26" i="3"/>
  <c r="C26" i="3"/>
  <c r="G27" i="3"/>
  <c r="C27" i="3"/>
  <c r="G28" i="3"/>
  <c r="C28" i="3"/>
  <c r="G43" i="3"/>
  <c r="C43" i="3"/>
  <c r="G29" i="3"/>
  <c r="C29" i="3"/>
  <c r="E29" i="3"/>
  <c r="G30" i="3"/>
  <c r="C30" i="3"/>
  <c r="G31" i="3"/>
  <c r="C31" i="3"/>
  <c r="G32" i="3"/>
  <c r="C32" i="3"/>
  <c r="G33" i="3"/>
  <c r="C33" i="3"/>
  <c r="E33" i="3"/>
  <c r="G34" i="3"/>
  <c r="C34" i="3"/>
  <c r="G35" i="3"/>
  <c r="C35" i="3"/>
  <c r="H34" i="3"/>
  <c r="D34" i="3"/>
  <c r="B34" i="3"/>
  <c r="A34" i="3"/>
  <c r="H33" i="3"/>
  <c r="D33" i="3"/>
  <c r="B33" i="3"/>
  <c r="A33" i="3"/>
  <c r="H32" i="3"/>
  <c r="D32" i="3"/>
  <c r="B32" i="3"/>
  <c r="A32" i="3"/>
  <c r="H31" i="3"/>
  <c r="D31" i="3"/>
  <c r="B31" i="3"/>
  <c r="A31" i="3"/>
  <c r="H30" i="3"/>
  <c r="D30" i="3"/>
  <c r="B30" i="3"/>
  <c r="A30" i="3"/>
  <c r="H29" i="3"/>
  <c r="D29" i="3"/>
  <c r="B29" i="3"/>
  <c r="A29" i="3"/>
  <c r="H43" i="3"/>
  <c r="D43" i="3"/>
  <c r="B43" i="3"/>
  <c r="A43" i="3"/>
  <c r="H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H17" i="3"/>
  <c r="D17" i="3"/>
  <c r="B17" i="3"/>
  <c r="A17" i="3"/>
  <c r="H42" i="3"/>
  <c r="D42" i="3"/>
  <c r="B42" i="3"/>
  <c r="A42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H12" i="3"/>
  <c r="D12" i="3"/>
  <c r="B12" i="3"/>
  <c r="A12" i="3"/>
  <c r="H11" i="3"/>
  <c r="D11" i="3"/>
  <c r="B11" i="3"/>
  <c r="A11" i="3"/>
  <c r="H41" i="3"/>
  <c r="D41" i="3"/>
  <c r="B41" i="3"/>
  <c r="A41" i="3"/>
  <c r="H40" i="3"/>
  <c r="D40" i="3"/>
  <c r="B40" i="3"/>
  <c r="A40" i="3"/>
  <c r="H39" i="3"/>
  <c r="D39" i="3"/>
  <c r="B39" i="3"/>
  <c r="A39" i="3"/>
  <c r="H38" i="3"/>
  <c r="D38" i="3"/>
  <c r="B38" i="3"/>
  <c r="A38" i="3"/>
  <c r="H37" i="3"/>
  <c r="D37" i="3"/>
  <c r="B37" i="3"/>
  <c r="A37" i="3"/>
  <c r="H36" i="3"/>
  <c r="D36" i="3"/>
  <c r="B36" i="3"/>
  <c r="A36" i="3"/>
  <c r="H35" i="3"/>
  <c r="D35" i="3"/>
  <c r="B35" i="3"/>
  <c r="A35" i="3"/>
  <c r="E9" i="2"/>
  <c r="D9" i="2"/>
  <c r="Q51" i="2"/>
  <c r="Q54" i="2"/>
  <c r="Q50" i="2"/>
  <c r="Q53" i="2"/>
  <c r="Q52" i="2"/>
  <c r="F16" i="2"/>
  <c r="F17" i="2" s="1"/>
  <c r="C17" i="2"/>
  <c r="Q46" i="2"/>
  <c r="Q48" i="2"/>
  <c r="Q38" i="1"/>
  <c r="Q49" i="2"/>
  <c r="C7" i="2"/>
  <c r="E21" i="2"/>
  <c r="F21" i="2"/>
  <c r="Q28" i="2"/>
  <c r="Q29" i="2"/>
  <c r="Q30" i="2"/>
  <c r="Q31" i="2"/>
  <c r="Q32" i="2"/>
  <c r="Q33" i="2"/>
  <c r="Q35" i="2"/>
  <c r="Q36" i="2"/>
  <c r="Q37" i="2"/>
  <c r="Q38" i="2"/>
  <c r="Q39" i="2"/>
  <c r="Q40" i="2"/>
  <c r="Q41" i="2"/>
  <c r="Q42" i="2"/>
  <c r="Q43" i="2"/>
  <c r="Q44" i="2"/>
  <c r="Q45" i="2"/>
  <c r="E28" i="1"/>
  <c r="F28" i="1"/>
  <c r="E22" i="1"/>
  <c r="F22" i="1"/>
  <c r="Q27" i="1"/>
  <c r="Q28" i="1"/>
  <c r="Q29" i="1"/>
  <c r="Q30" i="1"/>
  <c r="Q31" i="1"/>
  <c r="Q33" i="1"/>
  <c r="Q34" i="1"/>
  <c r="Q35" i="1"/>
  <c r="Q37" i="1"/>
  <c r="C17" i="1"/>
  <c r="Q22" i="1"/>
  <c r="Q23" i="1"/>
  <c r="Q24" i="1"/>
  <c r="Q25" i="1"/>
  <c r="Q26" i="1"/>
  <c r="Q32" i="1"/>
  <c r="Q36" i="1"/>
  <c r="C7" i="1"/>
  <c r="E31" i="1"/>
  <c r="F31" i="1"/>
  <c r="C8" i="1"/>
  <c r="E27" i="1"/>
  <c r="F27" i="1"/>
  <c r="Q21" i="1"/>
  <c r="E21" i="3"/>
  <c r="E33" i="1"/>
  <c r="F33" i="1"/>
  <c r="E26" i="1"/>
  <c r="F26" i="1"/>
  <c r="G26" i="1"/>
  <c r="I26" i="1"/>
  <c r="E38" i="1"/>
  <c r="F38" i="1"/>
  <c r="E12" i="3"/>
  <c r="E35" i="3"/>
  <c r="E27" i="3"/>
  <c r="E32" i="1"/>
  <c r="F32" i="1"/>
  <c r="E25" i="3"/>
  <c r="G38" i="1"/>
  <c r="J38" i="1"/>
  <c r="E33" i="2"/>
  <c r="F33" i="2"/>
  <c r="E29" i="2"/>
  <c r="F29" i="2"/>
  <c r="G53" i="2"/>
  <c r="I53" i="2"/>
  <c r="E51" i="2"/>
  <c r="G38" i="2"/>
  <c r="I38" i="2"/>
  <c r="E36" i="2"/>
  <c r="F36" i="2"/>
  <c r="G36" i="2"/>
  <c r="I36" i="2"/>
  <c r="R34" i="2"/>
  <c r="E26" i="2"/>
  <c r="E34" i="1"/>
  <c r="F34" i="1"/>
  <c r="E24" i="1"/>
  <c r="F24" i="1"/>
  <c r="G24" i="1"/>
  <c r="I24" i="1"/>
  <c r="G33" i="1"/>
  <c r="J33" i="1"/>
  <c r="E30" i="1"/>
  <c r="F30" i="1"/>
  <c r="G30" i="1"/>
  <c r="J30" i="1"/>
  <c r="G27" i="1"/>
  <c r="J27" i="1"/>
  <c r="E37" i="1"/>
  <c r="F37" i="1"/>
  <c r="G37" i="1"/>
  <c r="J37" i="1"/>
  <c r="E46" i="2"/>
  <c r="G45" i="2"/>
  <c r="I45" i="2"/>
  <c r="E42" i="2"/>
  <c r="E44" i="2"/>
  <c r="F44" i="2"/>
  <c r="E23" i="2"/>
  <c r="F23" i="2"/>
  <c r="E29" i="1"/>
  <c r="F29" i="1"/>
  <c r="G29" i="1"/>
  <c r="J29" i="1"/>
  <c r="E49" i="2"/>
  <c r="F49" i="2"/>
  <c r="G49" i="2"/>
  <c r="I49" i="2"/>
  <c r="E45" i="2"/>
  <c r="F45" i="2"/>
  <c r="E35" i="2"/>
  <c r="E25" i="2"/>
  <c r="F25" i="2"/>
  <c r="R25" i="2"/>
  <c r="E36" i="1"/>
  <c r="F36" i="1"/>
  <c r="G36" i="1"/>
  <c r="I36" i="1"/>
  <c r="G22" i="1"/>
  <c r="I22" i="1"/>
  <c r="E35" i="1"/>
  <c r="F35" i="1"/>
  <c r="G35" i="1"/>
  <c r="J35" i="1"/>
  <c r="G28" i="1"/>
  <c r="J28" i="1"/>
  <c r="E31" i="2"/>
  <c r="F31" i="2"/>
  <c r="G48" i="2"/>
  <c r="K48" i="2"/>
  <c r="E54" i="2"/>
  <c r="F54" i="2"/>
  <c r="G54" i="2"/>
  <c r="I54" i="2"/>
  <c r="G43" i="2"/>
  <c r="I43" i="2"/>
  <c r="E41" i="2"/>
  <c r="F41" i="2"/>
  <c r="G41" i="2"/>
  <c r="I41" i="2"/>
  <c r="R28" i="2"/>
  <c r="E40" i="2"/>
  <c r="F40" i="2"/>
  <c r="G40" i="2"/>
  <c r="I40" i="2"/>
  <c r="R24" i="2"/>
  <c r="E22" i="2"/>
  <c r="F22" i="2"/>
  <c r="E23" i="1"/>
  <c r="F23" i="1"/>
  <c r="G23" i="1"/>
  <c r="I23" i="1"/>
  <c r="G31" i="1"/>
  <c r="J31" i="1"/>
  <c r="E21" i="1"/>
  <c r="F21" i="1"/>
  <c r="G21" i="1"/>
  <c r="G32" i="1"/>
  <c r="I32" i="1"/>
  <c r="E25" i="1"/>
  <c r="F25" i="1"/>
  <c r="G25" i="1"/>
  <c r="I25" i="1"/>
  <c r="G34" i="1"/>
  <c r="J34" i="1"/>
  <c r="E52" i="2"/>
  <c r="E37" i="2"/>
  <c r="F37" i="2"/>
  <c r="G37" i="2"/>
  <c r="I37" i="2"/>
  <c r="E27" i="2"/>
  <c r="R21" i="2"/>
  <c r="E50" i="2"/>
  <c r="F50" i="2"/>
  <c r="G50" i="2"/>
  <c r="I50" i="2"/>
  <c r="E39" i="2"/>
  <c r="F39" i="2"/>
  <c r="G39" i="2"/>
  <c r="I39" i="2"/>
  <c r="G44" i="2"/>
  <c r="J44" i="2"/>
  <c r="E47" i="2"/>
  <c r="F47" i="2"/>
  <c r="G47" i="2"/>
  <c r="J47" i="2"/>
  <c r="R23" i="2"/>
  <c r="E41" i="3"/>
  <c r="F27" i="2"/>
  <c r="R27" i="2"/>
  <c r="F52" i="2"/>
  <c r="G52" i="2"/>
  <c r="I52" i="2"/>
  <c r="E32" i="3"/>
  <c r="R22" i="2"/>
  <c r="F26" i="2"/>
  <c r="E40" i="3"/>
  <c r="E34" i="3"/>
  <c r="E19" i="3"/>
  <c r="F42" i="2"/>
  <c r="G42" i="2"/>
  <c r="I42" i="2"/>
  <c r="E24" i="3"/>
  <c r="E18" i="3"/>
  <c r="E36" i="3"/>
  <c r="E28" i="3"/>
  <c r="F46" i="2"/>
  <c r="G46" i="2"/>
  <c r="K46" i="2"/>
  <c r="F51" i="2"/>
  <c r="G51" i="2"/>
  <c r="I51" i="2"/>
  <c r="E31" i="3"/>
  <c r="E14" i="3"/>
  <c r="E37" i="3"/>
  <c r="C12" i="1"/>
  <c r="C16" i="1"/>
  <c r="D18" i="1"/>
  <c r="H21" i="1"/>
  <c r="C11" i="1"/>
  <c r="E22" i="3"/>
  <c r="E23" i="3"/>
  <c r="E39" i="3"/>
  <c r="E26" i="3"/>
  <c r="E43" i="3"/>
  <c r="F35" i="2"/>
  <c r="G35" i="2"/>
  <c r="I35" i="2"/>
  <c r="E17" i="3"/>
  <c r="E30" i="3"/>
  <c r="E16" i="3"/>
  <c r="O38" i="1"/>
  <c r="R38" i="1"/>
  <c r="O24" i="1"/>
  <c r="R24" i="1"/>
  <c r="O28" i="1"/>
  <c r="R28" i="1"/>
  <c r="O32" i="1"/>
  <c r="R32" i="1"/>
  <c r="O36" i="1"/>
  <c r="R36" i="1"/>
  <c r="O22" i="1"/>
  <c r="R22" i="1"/>
  <c r="O30" i="1"/>
  <c r="R30" i="1"/>
  <c r="O34" i="1"/>
  <c r="R34" i="1"/>
  <c r="O26" i="1"/>
  <c r="R26" i="1"/>
  <c r="O33" i="1"/>
  <c r="R33" i="1"/>
  <c r="O35" i="1"/>
  <c r="R35" i="1"/>
  <c r="O21" i="1"/>
  <c r="R21" i="1"/>
  <c r="O37" i="1"/>
  <c r="R37" i="1"/>
  <c r="O25" i="1"/>
  <c r="R25" i="1"/>
  <c r="O27" i="1"/>
  <c r="R27" i="1"/>
  <c r="C15" i="1"/>
  <c r="C18" i="1"/>
  <c r="O29" i="1"/>
  <c r="R29" i="1"/>
  <c r="O31" i="1"/>
  <c r="R31" i="1"/>
  <c r="O23" i="1"/>
  <c r="R23" i="1"/>
  <c r="R26" i="2"/>
  <c r="R19" i="1"/>
  <c r="C12" i="2"/>
  <c r="C11" i="2"/>
  <c r="O34" i="2" l="1"/>
  <c r="S34" i="2" s="1"/>
  <c r="O32" i="2"/>
  <c r="S32" i="2" s="1"/>
  <c r="O29" i="2"/>
  <c r="S29" i="2" s="1"/>
  <c r="O21" i="2"/>
  <c r="S21" i="2" s="1"/>
  <c r="O22" i="2"/>
  <c r="S22" i="2" s="1"/>
  <c r="O39" i="2"/>
  <c r="S39" i="2" s="1"/>
  <c r="O36" i="2"/>
  <c r="S36" i="2" s="1"/>
  <c r="O25" i="2"/>
  <c r="S25" i="2" s="1"/>
  <c r="O54" i="2"/>
  <c r="S54" i="2" s="1"/>
  <c r="O26" i="2"/>
  <c r="S26" i="2" s="1"/>
  <c r="O37" i="2"/>
  <c r="S37" i="2" s="1"/>
  <c r="O33" i="2"/>
  <c r="S33" i="2" s="1"/>
  <c r="O24" i="2"/>
  <c r="S24" i="2" s="1"/>
  <c r="O46" i="2"/>
  <c r="S46" i="2" s="1"/>
  <c r="O43" i="2"/>
  <c r="S43" i="2" s="1"/>
  <c r="O40" i="2"/>
  <c r="S40" i="2" s="1"/>
  <c r="O50" i="2"/>
  <c r="S50" i="2" s="1"/>
  <c r="O53" i="2"/>
  <c r="S53" i="2" s="1"/>
  <c r="O52" i="2"/>
  <c r="S52" i="2" s="1"/>
  <c r="O48" i="2"/>
  <c r="S48" i="2" s="1"/>
  <c r="O41" i="2"/>
  <c r="S41" i="2" s="1"/>
  <c r="O42" i="2"/>
  <c r="S42" i="2" s="1"/>
  <c r="O47" i="2"/>
  <c r="S47" i="2" s="1"/>
  <c r="O30" i="2"/>
  <c r="S30" i="2" s="1"/>
  <c r="O49" i="2"/>
  <c r="S49" i="2" s="1"/>
  <c r="O44" i="2"/>
  <c r="S44" i="2" s="1"/>
  <c r="C15" i="2"/>
  <c r="O28" i="2"/>
  <c r="S28" i="2" s="1"/>
  <c r="O45" i="2"/>
  <c r="S45" i="2" s="1"/>
  <c r="O27" i="2"/>
  <c r="S27" i="2" s="1"/>
  <c r="O38" i="2"/>
  <c r="S38" i="2" s="1"/>
  <c r="O35" i="2"/>
  <c r="S35" i="2" s="1"/>
  <c r="O31" i="2"/>
  <c r="S31" i="2" s="1"/>
  <c r="O23" i="2"/>
  <c r="S23" i="2" s="1"/>
  <c r="O51" i="2"/>
  <c r="S51" i="2" s="1"/>
  <c r="C16" i="2"/>
  <c r="D18" i="2" s="1"/>
  <c r="S19" i="2" l="1"/>
  <c r="C18" i="2"/>
  <c r="F18" i="2"/>
  <c r="F19" i="2" s="1"/>
</calcChain>
</file>

<file path=xl/sharedStrings.xml><?xml version="1.0" encoding="utf-8"?>
<sst xmlns="http://schemas.openxmlformats.org/spreadsheetml/2006/main" count="464" uniqueCount="213">
  <si>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</si>
  <si>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</si>
  <si>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</si>
  <si>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</si>
  <si>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</si>
  <si>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</si>
  <si>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</si>
  <si>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</si>
  <si>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</si>
  <si>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</si>
  <si>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</si>
  <si>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</si>
  <si>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</si>
  <si>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</si>
  <si>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</si>
  <si>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</si>
  <si>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</si>
  <si>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</si>
  <si>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</si>
  <si>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</si>
  <si>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</si>
  <si>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</si>
  <si>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</si>
  <si>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</si>
  <si>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</si>
  <si>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</si>
  <si>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</si>
  <si>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</si>
  <si>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</si>
  <si>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</si>
  <si>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</si>
  <si>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</si>
  <si>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Bull.78</t>
  </si>
  <si>
    <t>B</t>
  </si>
  <si>
    <t>BBSAG Bull.84</t>
  </si>
  <si>
    <t>BBSAG Bull.85</t>
  </si>
  <si>
    <t>BBSAG Bull.86</t>
  </si>
  <si>
    <t>BBSAG Bull.88</t>
  </si>
  <si>
    <t>Diethelm R</t>
  </si>
  <si>
    <t>BBSAG Bull.110</t>
  </si>
  <si>
    <t>Blaettler E</t>
  </si>
  <si>
    <t>BBSAG Bull.116</t>
  </si>
  <si>
    <t>II</t>
  </si>
  <si>
    <t>BBSAG</t>
  </si>
  <si>
    <t>V640 Aql / GSC 01060-02030</t>
  </si>
  <si>
    <t># of data points:</t>
  </si>
  <si>
    <t>EB/KE</t>
  </si>
  <si>
    <t>IBVS 5731</t>
  </si>
  <si>
    <t>VSX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</si>
  <si>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</si>
  <si>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</si>
  <si>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</si>
  <si>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</si>
  <si>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</si>
  <si>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</si>
  <si>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</si>
  <si>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CCD</t>
  </si>
  <si>
    <t>Add cycle</t>
  </si>
  <si>
    <t>Old Cycle</t>
  </si>
  <si>
    <t>IBVS 6010</t>
  </si>
  <si>
    <t>IBVS 6084</t>
  </si>
  <si>
    <t>BAD?</t>
  </si>
  <si>
    <t>V0640 Aql / GSC 01060-02030</t>
  </si>
  <si>
    <t>IBVS 6118</t>
  </si>
  <si>
    <t>I</t>
  </si>
  <si>
    <t>IBVS 5984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</si>
  <si>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</si>
  <si>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</si>
  <si>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</si>
  <si>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</si>
  <si>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</si>
  <si>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</si>
  <si>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</si>
  <si>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</si>
  <si>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</si>
  <si>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</si>
  <si>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</si>
  <si>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2436811.355 </t>
  </si>
  <si>
    <t> 30.08.1959 20:31 </t>
  </si>
  <si>
    <t> -0.151 </t>
  </si>
  <si>
    <t>P </t>
  </si>
  <si>
    <t> L.Meinunger </t>
  </si>
  <si>
    <t> MVS 3.154 </t>
  </si>
  <si>
    <t>2436812.48 </t>
  </si>
  <si>
    <t> 31.08.1959 23:31 </t>
  </si>
  <si>
    <t> -0.15 </t>
  </si>
  <si>
    <t>2436816.43 </t>
  </si>
  <si>
    <t> 04.09.1959 22:19 </t>
  </si>
  <si>
    <t> -0.13 </t>
  </si>
  <si>
    <t>2436818.42 </t>
  </si>
  <si>
    <t> 06.09.1959 22:04 </t>
  </si>
  <si>
    <t> -0.10 </t>
  </si>
  <si>
    <t>2436819.58 </t>
  </si>
  <si>
    <t> 08.09.1959 01:55 </t>
  </si>
  <si>
    <t> -0.06 </t>
  </si>
  <si>
    <t>2436820.39 </t>
  </si>
  <si>
    <t> 08.09.1959 21:21 </t>
  </si>
  <si>
    <t>2436821.50 </t>
  </si>
  <si>
    <t> 10.09.1959 00:00 </t>
  </si>
  <si>
    <t> -0.11 </t>
  </si>
  <si>
    <t>2439024.405 </t>
  </si>
  <si>
    <t> 20.09.1965 21:43 </t>
  </si>
  <si>
    <t> 0.013 </t>
  </si>
  <si>
    <t>E </t>
  </si>
  <si>
    <t>?</t>
  </si>
  <si>
    <t> Wenzel &amp; Meinunger </t>
  </si>
  <si>
    <t> MVS 7.104 </t>
  </si>
  <si>
    <t>2446316.321 </t>
  </si>
  <si>
    <t> 07.09.1985 19:42 </t>
  </si>
  <si>
    <t> 0.012 </t>
  </si>
  <si>
    <t>V </t>
  </si>
  <si>
    <t> K.Locher </t>
  </si>
  <si>
    <t> BBS 78 </t>
  </si>
  <si>
    <t>2446997.388 </t>
  </si>
  <si>
    <t> 20.07.1987 21:18 </t>
  </si>
  <si>
    <t> 0.040 </t>
  </si>
  <si>
    <t> BBS 84 </t>
  </si>
  <si>
    <t>2447029.367 </t>
  </si>
  <si>
    <t> 21.08.1987 20:48 </t>
  </si>
  <si>
    <t> 0.029 </t>
  </si>
  <si>
    <t> BBS 85 </t>
  </si>
  <si>
    <t>2447115.232 </t>
  </si>
  <si>
    <t> 15.11.1987 17:34 </t>
  </si>
  <si>
    <t> 0.028 </t>
  </si>
  <si>
    <t> BBS 86 </t>
  </si>
  <si>
    <t>2447296.548 </t>
  </si>
  <si>
    <t> 15.05.1988 01:09 </t>
  </si>
  <si>
    <t> 0.070 </t>
  </si>
  <si>
    <t> BBS 88 </t>
  </si>
  <si>
    <t>2448127.427 </t>
  </si>
  <si>
    <t> 23.08.1990 22:14 </t>
  </si>
  <si>
    <t> 0.064 </t>
  </si>
  <si>
    <t> A.Dedoch </t>
  </si>
  <si>
    <t> BRNO 31 </t>
  </si>
  <si>
    <t>2449169.5463 </t>
  </si>
  <si>
    <t> 01.07.1993 01:06 </t>
  </si>
  <si>
    <t> 0.0002 </t>
  </si>
  <si>
    <t>C </t>
  </si>
  <si>
    <t>o</t>
  </si>
  <si>
    <t> W.Moschner </t>
  </si>
  <si>
    <t>BAVM 178 </t>
  </si>
  <si>
    <t>2449888.4686 </t>
  </si>
  <si>
    <t> 19.06.1995 23:14 </t>
  </si>
  <si>
    <t> 0.0011 </t>
  </si>
  <si>
    <t>2449895.4832 </t>
  </si>
  <si>
    <t> 26.06.1995 23:35 </t>
  </si>
  <si>
    <t> 0.0005 </t>
  </si>
  <si>
    <t>2449897.4461 </t>
  </si>
  <si>
    <t> 28.06.1995 22:42 </t>
  </si>
  <si>
    <t> -0.0009 </t>
  </si>
  <si>
    <t>2449898.5709 </t>
  </si>
  <si>
    <t> 30.06.1995 01:42 </t>
  </si>
  <si>
    <t> 0.0015 </t>
  </si>
  <si>
    <t>2449933.371 </t>
  </si>
  <si>
    <t> 03.08.1995 20:54 </t>
  </si>
  <si>
    <t> 0.006 </t>
  </si>
  <si>
    <t> R.Diethelm </t>
  </si>
  <si>
    <t> BBS 110 </t>
  </si>
  <si>
    <t>2449952.4479 </t>
  </si>
  <si>
    <t> 22.08.1995 22:44 </t>
  </si>
  <si>
    <t>2449997.3483 </t>
  </si>
  <si>
    <t> 06.10.1995 20:21 </t>
  </si>
  <si>
    <t> 0.0044 </t>
  </si>
  <si>
    <t>2450667.4408 </t>
  </si>
  <si>
    <t> 06.08.1997 22:34 </t>
  </si>
  <si>
    <t>2450719.3569 </t>
  </si>
  <si>
    <t> 27.09.1997 20:33 </t>
  </si>
  <si>
    <t> 0.0048 </t>
  </si>
  <si>
    <t> E.Blättler </t>
  </si>
  <si>
    <t> BBS 116 </t>
  </si>
  <si>
    <t>2451432.3804 </t>
  </si>
  <si>
    <t> 10.09.1999 21:07 </t>
  </si>
  <si>
    <t> -0.0003 </t>
  </si>
  <si>
    <t>2452054.50070 </t>
  </si>
  <si>
    <t> 25.05.2001 00:01 </t>
  </si>
  <si>
    <t> 0.00887 </t>
  </si>
  <si>
    <t> P.Hájek </t>
  </si>
  <si>
    <t>OEJV 0074 </t>
  </si>
  <si>
    <t>2452093.4958 </t>
  </si>
  <si>
    <t> 02.07.2001 23:53 </t>
  </si>
  <si>
    <t> -0.0007 </t>
  </si>
  <si>
    <t> BBS 126 </t>
  </si>
  <si>
    <t>2452118.47688 </t>
  </si>
  <si>
    <t> 27.07.2001 23:26 </t>
  </si>
  <si>
    <t> 0.00610 </t>
  </si>
  <si>
    <t> J.Šafár </t>
  </si>
  <si>
    <t>2455352.4944 </t>
  </si>
  <si>
    <t> 04.06.2010 23:51 </t>
  </si>
  <si>
    <t> W.Moschner &amp; P.Frank </t>
  </si>
  <si>
    <t>BAVM 234 </t>
  </si>
  <si>
    <t>2455418.4422 </t>
  </si>
  <si>
    <t> 09.08.2010 22:36 </t>
  </si>
  <si>
    <t> 0.0043 </t>
  </si>
  <si>
    <t>-I</t>
  </si>
  <si>
    <t> F.Agerer </t>
  </si>
  <si>
    <t>BAVM 215 </t>
  </si>
  <si>
    <t>2455705.5011 </t>
  </si>
  <si>
    <t> 24.05.2011 00:01 </t>
  </si>
  <si>
    <t>2528</t>
  </si>
  <si>
    <t>BAVM 220 </t>
  </si>
  <si>
    <t>2456489.5217 </t>
  </si>
  <si>
    <t> 16.07.2013 00:31 </t>
  </si>
  <si>
    <t>3925</t>
  </si>
  <si>
    <t> -0.0025 </t>
  </si>
  <si>
    <t>BAVM 232 </t>
  </si>
  <si>
    <t>2456814.4677 </t>
  </si>
  <si>
    <t> 05.06.2014 23:13 </t>
  </si>
  <si>
    <t>4504</t>
  </si>
  <si>
    <t> -0.0022 </t>
  </si>
  <si>
    <t>BAVM 239 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</si>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</sst>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Alignment="1"/>
    <xf numFmtId="0" fontId="0" fillId="0" borderId="0" xfId="0" applyAlignment="1">
      <alignment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14" fontId="15" fillId="0" borderId="0" xfId="0" applyNumberFormat="1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V640 Aql - O-C Diagr.</a:t>
            </a:r>
          </a:p>
        </c:rich>
      </c:tx>
      <c:layout>
        <c:manualLayout>
          <c:xMode val="edge"/>
          <c:yMode val="edge"/>
          <c:x val="0.37084026937203374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128065979152"/>
          <c:y val="0.14159332824405491"/>
          <c:w val="0.81141108747515067"/>
          <c:h val="0.67256830915926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D4-4528-B3F4-2D6C8E73B6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4">
                  <c:v>-3.2639999997627456E-2</c:v>
                </c:pt>
                <c:pt idx="15">
                  <c:v>-3.3159999999043066E-2</c:v>
                </c:pt>
                <c:pt idx="16">
                  <c:v>-3.3809999993536621E-2</c:v>
                </c:pt>
                <c:pt idx="17">
                  <c:v>-3.5179999998945277E-2</c:v>
                </c:pt>
                <c:pt idx="18">
                  <c:v>-3.2820000000356231E-2</c:v>
                </c:pt>
                <c:pt idx="19">
                  <c:v>-2.8359999996609986E-2</c:v>
                </c:pt>
                <c:pt idx="20">
                  <c:v>-3.2940000004600734E-2</c:v>
                </c:pt>
                <c:pt idx="21">
                  <c:v>-3.0140000002575107E-2</c:v>
                </c:pt>
                <c:pt idx="22">
                  <c:v>-3.4320000006118789E-2</c:v>
                </c:pt>
                <c:pt idx="24">
                  <c:v>-3.7579999996523838E-2</c:v>
                </c:pt>
                <c:pt idx="28">
                  <c:v>-3.7660000001778826E-2</c:v>
                </c:pt>
                <c:pt idx="29">
                  <c:v>-4.5279999998456333E-2</c:v>
                </c:pt>
                <c:pt idx="30">
                  <c:v>-4.0830000005371403E-2</c:v>
                </c:pt>
                <c:pt idx="31">
                  <c:v>-4.5959999995830003E-2</c:v>
                </c:pt>
                <c:pt idx="32">
                  <c:v>-4.9700000003213063E-2</c:v>
                </c:pt>
                <c:pt idx="33">
                  <c:v>-5.0080000000889413E-2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D4-4528-B3F4-2D6C8E73B6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3">
                  <c:v>-3.1069999997271225E-2</c:v>
                </c:pt>
                <c:pt idx="26">
                  <c:v>-3.9340000002994202E-2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D4-4528-B3F4-2D6C8E73B6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5">
                  <c:v>-2.9650000004039612E-2</c:v>
                </c:pt>
                <c:pt idx="27">
                  <c:v>-3.2549999996263068E-2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D4-4528-B3F4-2D6C8E73B6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D4-4528-B3F4-2D6C8E73B6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D4-4528-B3F4-2D6C8E73B6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D4-4528-B3F4-2D6C8E73B6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-1.3339663823623239E-3</c:v>
                </c:pt>
                <c:pt idx="1">
                  <c:v>-1.3365774823539322E-3</c:v>
                </c:pt>
                <c:pt idx="2">
                  <c:v>-1.3463691073224643E-3</c:v>
                </c:pt>
                <c:pt idx="3">
                  <c:v>-1.3509385323077789E-3</c:v>
                </c:pt>
                <c:pt idx="4">
                  <c:v>-1.3535496322993872E-3</c:v>
                </c:pt>
                <c:pt idx="5">
                  <c:v>-1.3555079572930935E-3</c:v>
                </c:pt>
                <c:pt idx="6">
                  <c:v>-1.3581190572847018E-3</c:v>
                </c:pt>
                <c:pt idx="7">
                  <c:v>-6.482402790816251E-3</c:v>
                </c:pt>
                <c:pt idx="8">
                  <c:v>-2.3445413886300434E-2</c:v>
                </c:pt>
                <c:pt idx="9">
                  <c:v>-2.5029698806208849E-2</c:v>
                </c:pt>
                <c:pt idx="10">
                  <c:v>-2.5104115155969692E-2</c:v>
                </c:pt>
                <c:pt idx="11">
                  <c:v>-2.5303864305327734E-2</c:v>
                </c:pt>
                <c:pt idx="12">
                  <c:v>-2.5725556953972498E-2</c:v>
                </c:pt>
                <c:pt idx="13">
                  <c:v>-2.7658423722760641E-2</c:v>
                </c:pt>
                <c:pt idx="14">
                  <c:v>-3.008283006496907E-2</c:v>
                </c:pt>
                <c:pt idx="15">
                  <c:v>-3.1755239609594269E-2</c:v>
                </c:pt>
                <c:pt idx="16">
                  <c:v>-3.1771558984541821E-2</c:v>
                </c:pt>
                <c:pt idx="17">
                  <c:v>-3.1776128409527135E-2</c:v>
                </c:pt>
                <c:pt idx="18">
                  <c:v>-3.1778739509518747E-2</c:v>
                </c:pt>
                <c:pt idx="19">
                  <c:v>-3.1859683609258609E-2</c:v>
                </c:pt>
                <c:pt idx="20">
                  <c:v>-3.1904072309115947E-2</c:v>
                </c:pt>
                <c:pt idx="21">
                  <c:v>-3.2008516308780287E-2</c:v>
                </c:pt>
                <c:pt idx="22">
                  <c:v>-3.3567343003770525E-2</c:v>
                </c:pt>
                <c:pt idx="23">
                  <c:v>-3.3688106378382411E-2</c:v>
                </c:pt>
                <c:pt idx="24">
                  <c:v>-3.5346807648051669E-2</c:v>
                </c:pt>
                <c:pt idx="25">
                  <c:v>-3.6794009818400641E-2</c:v>
                </c:pt>
                <c:pt idx="26">
                  <c:v>-3.688474554310904E-2</c:v>
                </c:pt>
                <c:pt idx="27">
                  <c:v>-3.694284251792232E-2</c:v>
                </c:pt>
                <c:pt idx="28">
                  <c:v>-3.755840934094401E-2</c:v>
                </c:pt>
                <c:pt idx="29">
                  <c:v>-4.446607436874412E-2</c:v>
                </c:pt>
                <c:pt idx="30">
                  <c:v>-4.4619476493251119E-2</c:v>
                </c:pt>
                <c:pt idx="31">
                  <c:v>-4.5287265316104969E-2</c:v>
                </c:pt>
                <c:pt idx="32">
                  <c:v>-4.7111118660243465E-2</c:v>
                </c:pt>
                <c:pt idx="33">
                  <c:v>-4.7867032107814102E-2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D4-4528-B3F4-2D6C8E73B68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0">
                  <c:v>0.12107000000105472</c:v>
                </c:pt>
                <c:pt idx="1">
                  <c:v>0.1236300000018673</c:v>
                </c:pt>
                <c:pt idx="2">
                  <c:v>-0.13551999999617692</c:v>
                </c:pt>
                <c:pt idx="3">
                  <c:v>-0.10979000000224914</c:v>
                </c:pt>
                <c:pt idx="4">
                  <c:v>-7.2229999997944105E-2</c:v>
                </c:pt>
                <c:pt idx="5">
                  <c:v>-0.10405999999784399</c:v>
                </c:pt>
                <c:pt idx="6">
                  <c:v>-0.11649999999644933</c:v>
                </c:pt>
                <c:pt idx="7">
                  <c:v>0</c:v>
                </c:pt>
                <c:pt idx="8">
                  <c:v>-1.5459999995073304E-2</c:v>
                </c:pt>
                <c:pt idx="9">
                  <c:v>1.1070000000472646E-2</c:v>
                </c:pt>
                <c:pt idx="10">
                  <c:v>5.2999999752501026E-4</c:v>
                </c:pt>
                <c:pt idx="11">
                  <c:v>-1.1299999969196506E-3</c:v>
                </c:pt>
                <c:pt idx="12">
                  <c:v>4.0809999998600688E-2</c:v>
                </c:pt>
                <c:pt idx="13">
                  <c:v>3.3600000002479646E-2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D4-4528-B3F4-2D6C8E73B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219280"/>
        <c:axId val="1"/>
      </c:scatterChart>
      <c:valAx>
        <c:axId val="535219280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645165986581"/>
              <c:y val="0.87020896724192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8938176975665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219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91141836272051"/>
          <c:y val="0.92330662207047132"/>
          <c:w val="0.74326515841621232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V640 Aql - O-C Diagr.</a:t>
            </a:r>
          </a:p>
        </c:rich>
      </c:tx>
      <c:layout>
        <c:manualLayout>
          <c:xMode val="edge"/>
          <c:yMode val="edge"/>
          <c:x val="0.370253164556962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4050632911392"/>
          <c:y val="0.14117667333506626"/>
          <c:w val="0.80854430379746833"/>
          <c:h val="0.673530379036045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2B-4B81-A3FF-CF877CF100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4">
                  <c:v>-3.2639999997627456E-2</c:v>
                </c:pt>
                <c:pt idx="15">
                  <c:v>-3.3159999999043066E-2</c:v>
                </c:pt>
                <c:pt idx="16">
                  <c:v>-3.3809999993536621E-2</c:v>
                </c:pt>
                <c:pt idx="17">
                  <c:v>-3.5179999998945277E-2</c:v>
                </c:pt>
                <c:pt idx="18">
                  <c:v>-3.2820000000356231E-2</c:v>
                </c:pt>
                <c:pt idx="19">
                  <c:v>-2.8359999996609986E-2</c:v>
                </c:pt>
                <c:pt idx="20">
                  <c:v>-3.2940000004600734E-2</c:v>
                </c:pt>
                <c:pt idx="21">
                  <c:v>-3.0140000002575107E-2</c:v>
                </c:pt>
                <c:pt idx="22">
                  <c:v>-3.4320000006118789E-2</c:v>
                </c:pt>
                <c:pt idx="24">
                  <c:v>-3.7579999996523838E-2</c:v>
                </c:pt>
                <c:pt idx="28">
                  <c:v>-3.7660000001778826E-2</c:v>
                </c:pt>
                <c:pt idx="29">
                  <c:v>-4.5279999998456333E-2</c:v>
                </c:pt>
                <c:pt idx="30">
                  <c:v>-4.0830000005371403E-2</c:v>
                </c:pt>
                <c:pt idx="31">
                  <c:v>-4.5959999995830003E-2</c:v>
                </c:pt>
                <c:pt idx="32">
                  <c:v>-4.9700000003213063E-2</c:v>
                </c:pt>
                <c:pt idx="33">
                  <c:v>-5.0080000000889413E-2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2B-4B81-A3FF-CF877CF100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3">
                  <c:v>-3.1069999997271225E-2</c:v>
                </c:pt>
                <c:pt idx="26">
                  <c:v>-3.9340000002994202E-2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2B-4B81-A3FF-CF877CF100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5">
                  <c:v>-2.9650000004039612E-2</c:v>
                </c:pt>
                <c:pt idx="27">
                  <c:v>-3.2549999996263068E-2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2B-4B81-A3FF-CF877CF100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2B-4B81-A3FF-CF877CF100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2B-4B81-A3FF-CF877CF100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13">
                    <c:v>0</c:v>
                  </c:pt>
                  <c:pt idx="14">
                    <c:v>1.2999999999999999E-3</c:v>
                  </c:pt>
                  <c:pt idx="15">
                    <c:v>1.1999999999999999E-3</c:v>
                  </c:pt>
                  <c:pt idx="16">
                    <c:v>1.6999999999999999E-3</c:v>
                  </c:pt>
                  <c:pt idx="17">
                    <c:v>1.1000000000000001E-3</c:v>
                  </c:pt>
                  <c:pt idx="18">
                    <c:v>1.2999999999999999E-3</c:v>
                  </c:pt>
                  <c:pt idx="19">
                    <c:v>3.0000000000000001E-3</c:v>
                  </c:pt>
                  <c:pt idx="20">
                    <c:v>1.2999999999999999E-3</c:v>
                  </c:pt>
                  <c:pt idx="21">
                    <c:v>1.2999999999999999E-3</c:v>
                  </c:pt>
                  <c:pt idx="22">
                    <c:v>1.4E-3</c:v>
                  </c:pt>
                  <c:pt idx="23">
                    <c:v>5.9999999999999995E-4</c:v>
                  </c:pt>
                  <c:pt idx="24">
                    <c:v>5.0000000000000001E-4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3.2000000000000002E-3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2.0000000000000001E-4</c:v>
                  </c:pt>
                  <c:pt idx="32">
                    <c:v>8.9999999999999998E-4</c:v>
                  </c:pt>
                  <c:pt idx="3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2B-4B81-A3FF-CF877CF100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-1.3339663823623239E-3</c:v>
                </c:pt>
                <c:pt idx="1">
                  <c:v>-1.3365774823539322E-3</c:v>
                </c:pt>
                <c:pt idx="2">
                  <c:v>-1.3463691073224643E-3</c:v>
                </c:pt>
                <c:pt idx="3">
                  <c:v>-1.3509385323077789E-3</c:v>
                </c:pt>
                <c:pt idx="4">
                  <c:v>-1.3535496322993872E-3</c:v>
                </c:pt>
                <c:pt idx="5">
                  <c:v>-1.3555079572930935E-3</c:v>
                </c:pt>
                <c:pt idx="6">
                  <c:v>-1.3581190572847018E-3</c:v>
                </c:pt>
                <c:pt idx="7">
                  <c:v>-6.482402790816251E-3</c:v>
                </c:pt>
                <c:pt idx="8">
                  <c:v>-2.3445413886300434E-2</c:v>
                </c:pt>
                <c:pt idx="9">
                  <c:v>-2.5029698806208849E-2</c:v>
                </c:pt>
                <c:pt idx="10">
                  <c:v>-2.5104115155969692E-2</c:v>
                </c:pt>
                <c:pt idx="11">
                  <c:v>-2.5303864305327734E-2</c:v>
                </c:pt>
                <c:pt idx="12">
                  <c:v>-2.5725556953972498E-2</c:v>
                </c:pt>
                <c:pt idx="13">
                  <c:v>-2.7658423722760641E-2</c:v>
                </c:pt>
                <c:pt idx="14">
                  <c:v>-3.008283006496907E-2</c:v>
                </c:pt>
                <c:pt idx="15">
                  <c:v>-3.1755239609594269E-2</c:v>
                </c:pt>
                <c:pt idx="16">
                  <c:v>-3.1771558984541821E-2</c:v>
                </c:pt>
                <c:pt idx="17">
                  <c:v>-3.1776128409527135E-2</c:v>
                </c:pt>
                <c:pt idx="18">
                  <c:v>-3.1778739509518747E-2</c:v>
                </c:pt>
                <c:pt idx="19">
                  <c:v>-3.1859683609258609E-2</c:v>
                </c:pt>
                <c:pt idx="20">
                  <c:v>-3.1904072309115947E-2</c:v>
                </c:pt>
                <c:pt idx="21">
                  <c:v>-3.2008516308780287E-2</c:v>
                </c:pt>
                <c:pt idx="22">
                  <c:v>-3.3567343003770525E-2</c:v>
                </c:pt>
                <c:pt idx="23">
                  <c:v>-3.3688106378382411E-2</c:v>
                </c:pt>
                <c:pt idx="24">
                  <c:v>-3.5346807648051669E-2</c:v>
                </c:pt>
                <c:pt idx="25">
                  <c:v>-3.6794009818400641E-2</c:v>
                </c:pt>
                <c:pt idx="26">
                  <c:v>-3.688474554310904E-2</c:v>
                </c:pt>
                <c:pt idx="27">
                  <c:v>-3.694284251792232E-2</c:v>
                </c:pt>
                <c:pt idx="28">
                  <c:v>-3.755840934094401E-2</c:v>
                </c:pt>
                <c:pt idx="29">
                  <c:v>-4.446607436874412E-2</c:v>
                </c:pt>
                <c:pt idx="30">
                  <c:v>-4.4619476493251119E-2</c:v>
                </c:pt>
                <c:pt idx="31">
                  <c:v>-4.5287265316104969E-2</c:v>
                </c:pt>
                <c:pt idx="32">
                  <c:v>-4.7111118660243465E-2</c:v>
                </c:pt>
                <c:pt idx="33">
                  <c:v>-4.7867032107814102E-2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2B-4B81-A3FF-CF877CF100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-3943.5</c:v>
                </c:pt>
                <c:pt idx="1">
                  <c:v>-3941.5</c:v>
                </c:pt>
                <c:pt idx="2">
                  <c:v>-3934</c:v>
                </c:pt>
                <c:pt idx="3">
                  <c:v>-3930.5</c:v>
                </c:pt>
                <c:pt idx="4">
                  <c:v>-3928.5</c:v>
                </c:pt>
                <c:pt idx="5">
                  <c:v>-3927</c:v>
                </c:pt>
                <c:pt idx="6">
                  <c:v>-3925</c:v>
                </c:pt>
                <c:pt idx="7">
                  <c:v>0</c:v>
                </c:pt>
                <c:pt idx="8">
                  <c:v>12993</c:v>
                </c:pt>
                <c:pt idx="9">
                  <c:v>14206.5</c:v>
                </c:pt>
                <c:pt idx="10">
                  <c:v>14263.5</c:v>
                </c:pt>
                <c:pt idx="11">
                  <c:v>14416.5</c:v>
                </c:pt>
                <c:pt idx="12">
                  <c:v>14739.5</c:v>
                </c:pt>
                <c:pt idx="13">
                  <c:v>16220</c:v>
                </c:pt>
                <c:pt idx="14">
                  <c:v>18077</c:v>
                </c:pt>
                <c:pt idx="15">
                  <c:v>19358</c:v>
                </c:pt>
                <c:pt idx="16">
                  <c:v>19370.5</c:v>
                </c:pt>
                <c:pt idx="17">
                  <c:v>19374</c:v>
                </c:pt>
                <c:pt idx="18">
                  <c:v>19376</c:v>
                </c:pt>
                <c:pt idx="19">
                  <c:v>19438</c:v>
                </c:pt>
                <c:pt idx="20">
                  <c:v>19472</c:v>
                </c:pt>
                <c:pt idx="21">
                  <c:v>19552</c:v>
                </c:pt>
                <c:pt idx="22">
                  <c:v>20746</c:v>
                </c:pt>
                <c:pt idx="23">
                  <c:v>20838.5</c:v>
                </c:pt>
                <c:pt idx="24">
                  <c:v>22109</c:v>
                </c:pt>
                <c:pt idx="25">
                  <c:v>23217.5</c:v>
                </c:pt>
                <c:pt idx="26">
                  <c:v>23287</c:v>
                </c:pt>
                <c:pt idx="27">
                  <c:v>23331.5</c:v>
                </c:pt>
                <c:pt idx="28">
                  <c:v>23803</c:v>
                </c:pt>
                <c:pt idx="29">
                  <c:v>29094</c:v>
                </c:pt>
                <c:pt idx="30">
                  <c:v>29211.5</c:v>
                </c:pt>
                <c:pt idx="31">
                  <c:v>29723</c:v>
                </c:pt>
                <c:pt idx="32">
                  <c:v>31120</c:v>
                </c:pt>
                <c:pt idx="33">
                  <c:v>31699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0">
                  <c:v>0.12107000000105472</c:v>
                </c:pt>
                <c:pt idx="1">
                  <c:v>0.1236300000018673</c:v>
                </c:pt>
                <c:pt idx="2">
                  <c:v>-0.13551999999617692</c:v>
                </c:pt>
                <c:pt idx="3">
                  <c:v>-0.10979000000224914</c:v>
                </c:pt>
                <c:pt idx="4">
                  <c:v>-7.2229999997944105E-2</c:v>
                </c:pt>
                <c:pt idx="5">
                  <c:v>-0.10405999999784399</c:v>
                </c:pt>
                <c:pt idx="6">
                  <c:v>-0.11649999999644933</c:v>
                </c:pt>
                <c:pt idx="7">
                  <c:v>0</c:v>
                </c:pt>
                <c:pt idx="8">
                  <c:v>-1.5459999995073304E-2</c:v>
                </c:pt>
                <c:pt idx="9">
                  <c:v>1.1070000000472646E-2</c:v>
                </c:pt>
                <c:pt idx="10">
                  <c:v>5.2999999752501026E-4</c:v>
                </c:pt>
                <c:pt idx="11">
                  <c:v>-1.1299999969196506E-3</c:v>
                </c:pt>
                <c:pt idx="12">
                  <c:v>4.0809999998600688E-2</c:v>
                </c:pt>
                <c:pt idx="13">
                  <c:v>3.3600000002479646E-2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2B-4B81-A3FF-CF877CF10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669848"/>
        <c:axId val="1"/>
      </c:scatterChart>
      <c:valAx>
        <c:axId val="689669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5189873417722"/>
              <c:y val="0.870589470433842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823591168750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669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63291139240506"/>
          <c:y val="0.92353064690443099"/>
          <c:w val="0.7420886075949366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V640 Aql - O-C Diagr.</a:t>
            </a:r>
          </a:p>
        </c:rich>
      </c:tx>
      <c:layout>
        <c:manualLayout>
          <c:xMode val="edge"/>
          <c:yMode val="edge"/>
          <c:x val="0.330578946226762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12989</c:v>
                </c:pt>
                <c:pt idx="2">
                  <c:v>14202</c:v>
                </c:pt>
                <c:pt idx="3">
                  <c:v>14259</c:v>
                </c:pt>
                <c:pt idx="4">
                  <c:v>14412</c:v>
                </c:pt>
                <c:pt idx="5">
                  <c:v>14735</c:v>
                </c:pt>
                <c:pt idx="6">
                  <c:v>18071</c:v>
                </c:pt>
                <c:pt idx="7">
                  <c:v>19351.5</c:v>
                </c:pt>
                <c:pt idx="8">
                  <c:v>19364</c:v>
                </c:pt>
                <c:pt idx="9">
                  <c:v>19367.5</c:v>
                </c:pt>
                <c:pt idx="10">
                  <c:v>19369.5</c:v>
                </c:pt>
                <c:pt idx="11">
                  <c:v>19431.5</c:v>
                </c:pt>
                <c:pt idx="12">
                  <c:v>19465.5</c:v>
                </c:pt>
                <c:pt idx="13">
                  <c:v>19545.5</c:v>
                </c:pt>
                <c:pt idx="14">
                  <c:v>20739.5</c:v>
                </c:pt>
                <c:pt idx="15">
                  <c:v>20832</c:v>
                </c:pt>
                <c:pt idx="16">
                  <c:v>22102</c:v>
                </c:pt>
                <c:pt idx="17">
                  <c:v>23795.5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95-45EF-9EBE-B51D4F0C0BA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12989</c:v>
                </c:pt>
                <c:pt idx="2">
                  <c:v>14202</c:v>
                </c:pt>
                <c:pt idx="3">
                  <c:v>14259</c:v>
                </c:pt>
                <c:pt idx="4">
                  <c:v>14412</c:v>
                </c:pt>
                <c:pt idx="5">
                  <c:v>14735</c:v>
                </c:pt>
                <c:pt idx="6">
                  <c:v>18071</c:v>
                </c:pt>
                <c:pt idx="7">
                  <c:v>19351.5</c:v>
                </c:pt>
                <c:pt idx="8">
                  <c:v>19364</c:v>
                </c:pt>
                <c:pt idx="9">
                  <c:v>19367.5</c:v>
                </c:pt>
                <c:pt idx="10">
                  <c:v>19369.5</c:v>
                </c:pt>
                <c:pt idx="11">
                  <c:v>19431.5</c:v>
                </c:pt>
                <c:pt idx="12">
                  <c:v>19465.5</c:v>
                </c:pt>
                <c:pt idx="13">
                  <c:v>19545.5</c:v>
                </c:pt>
                <c:pt idx="14">
                  <c:v>20739.5</c:v>
                </c:pt>
                <c:pt idx="15">
                  <c:v>20832</c:v>
                </c:pt>
                <c:pt idx="16">
                  <c:v>22102</c:v>
                </c:pt>
                <c:pt idx="17">
                  <c:v>23795.5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-0.10859999999229331</c:v>
                </c:pt>
                <c:pt idx="2">
                  <c:v>-1.9800000001851004E-2</c:v>
                </c:pt>
                <c:pt idx="3">
                  <c:v>-4.0600000000267755E-2</c:v>
                </c:pt>
                <c:pt idx="4">
                  <c:v>-6.9799999997485429E-2</c:v>
                </c:pt>
                <c:pt idx="5">
                  <c:v>-8.5999999995692633E-2</c:v>
                </c:pt>
                <c:pt idx="11">
                  <c:v>0.12189999999827705</c:v>
                </c:pt>
                <c:pt idx="15">
                  <c:v>-0.13289999999688007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95-45EF-9EBE-B51D4F0C0BA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12989</c:v>
                </c:pt>
                <c:pt idx="2">
                  <c:v>14202</c:v>
                </c:pt>
                <c:pt idx="3">
                  <c:v>14259</c:v>
                </c:pt>
                <c:pt idx="4">
                  <c:v>14412</c:v>
                </c:pt>
                <c:pt idx="5">
                  <c:v>14735</c:v>
                </c:pt>
                <c:pt idx="6">
                  <c:v>18071</c:v>
                </c:pt>
                <c:pt idx="7">
                  <c:v>19351.5</c:v>
                </c:pt>
                <c:pt idx="8">
                  <c:v>19364</c:v>
                </c:pt>
                <c:pt idx="9">
                  <c:v>19367.5</c:v>
                </c:pt>
                <c:pt idx="10">
                  <c:v>19369.5</c:v>
                </c:pt>
                <c:pt idx="11">
                  <c:v>19431.5</c:v>
                </c:pt>
                <c:pt idx="12">
                  <c:v>19465.5</c:v>
                </c:pt>
                <c:pt idx="13">
                  <c:v>19545.5</c:v>
                </c:pt>
                <c:pt idx="14">
                  <c:v>20739.5</c:v>
                </c:pt>
                <c:pt idx="15">
                  <c:v>20832</c:v>
                </c:pt>
                <c:pt idx="16">
                  <c:v>22102</c:v>
                </c:pt>
                <c:pt idx="17">
                  <c:v>23795.5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6">
                  <c:v>8.1900000004679896E-2</c:v>
                </c:pt>
                <c:pt idx="7">
                  <c:v>0.13150000000314321</c:v>
                </c:pt>
                <c:pt idx="8">
                  <c:v>0.1286000000036438</c:v>
                </c:pt>
                <c:pt idx="9">
                  <c:v>0.12660000000323635</c:v>
                </c:pt>
                <c:pt idx="10">
                  <c:v>0.1286000000036438</c:v>
                </c:pt>
                <c:pt idx="12">
                  <c:v>0.11119999999937136</c:v>
                </c:pt>
                <c:pt idx="13">
                  <c:v>9.9600000001373701E-2</c:v>
                </c:pt>
                <c:pt idx="14">
                  <c:v>-0.11950000000069849</c:v>
                </c:pt>
                <c:pt idx="16">
                  <c:v>-8.7399999996705446E-2</c:v>
                </c:pt>
                <c:pt idx="17">
                  <c:v>-0.11170000000129221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95-45EF-9EBE-B51D4F0C0BA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12989</c:v>
                </c:pt>
                <c:pt idx="2">
                  <c:v>14202</c:v>
                </c:pt>
                <c:pt idx="3">
                  <c:v>14259</c:v>
                </c:pt>
                <c:pt idx="4">
                  <c:v>14412</c:v>
                </c:pt>
                <c:pt idx="5">
                  <c:v>14735</c:v>
                </c:pt>
                <c:pt idx="6">
                  <c:v>18071</c:v>
                </c:pt>
                <c:pt idx="7">
                  <c:v>19351.5</c:v>
                </c:pt>
                <c:pt idx="8">
                  <c:v>19364</c:v>
                </c:pt>
                <c:pt idx="9">
                  <c:v>19367.5</c:v>
                </c:pt>
                <c:pt idx="10">
                  <c:v>19369.5</c:v>
                </c:pt>
                <c:pt idx="11">
                  <c:v>19431.5</c:v>
                </c:pt>
                <c:pt idx="12">
                  <c:v>19465.5</c:v>
                </c:pt>
                <c:pt idx="13">
                  <c:v>19545.5</c:v>
                </c:pt>
                <c:pt idx="14">
                  <c:v>20739.5</c:v>
                </c:pt>
                <c:pt idx="15">
                  <c:v>20832</c:v>
                </c:pt>
                <c:pt idx="16">
                  <c:v>22102</c:v>
                </c:pt>
                <c:pt idx="17">
                  <c:v>23795.5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95-45EF-9EBE-B51D4F0C0BA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12989</c:v>
                </c:pt>
                <c:pt idx="2">
                  <c:v>14202</c:v>
                </c:pt>
                <c:pt idx="3">
                  <c:v>14259</c:v>
                </c:pt>
                <c:pt idx="4">
                  <c:v>14412</c:v>
                </c:pt>
                <c:pt idx="5">
                  <c:v>14735</c:v>
                </c:pt>
                <c:pt idx="6">
                  <c:v>18071</c:v>
                </c:pt>
                <c:pt idx="7">
                  <c:v>19351.5</c:v>
                </c:pt>
                <c:pt idx="8">
                  <c:v>19364</c:v>
                </c:pt>
                <c:pt idx="9">
                  <c:v>19367.5</c:v>
                </c:pt>
                <c:pt idx="10">
                  <c:v>19369.5</c:v>
                </c:pt>
                <c:pt idx="11">
                  <c:v>19431.5</c:v>
                </c:pt>
                <c:pt idx="12">
                  <c:v>19465.5</c:v>
                </c:pt>
                <c:pt idx="13">
                  <c:v>19545.5</c:v>
                </c:pt>
                <c:pt idx="14">
                  <c:v>20739.5</c:v>
                </c:pt>
                <c:pt idx="15">
                  <c:v>20832</c:v>
                </c:pt>
                <c:pt idx="16">
                  <c:v>22102</c:v>
                </c:pt>
                <c:pt idx="17">
                  <c:v>23795.5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95-45EF-9EBE-B51D4F0C0BA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12989</c:v>
                </c:pt>
                <c:pt idx="2">
                  <c:v>14202</c:v>
                </c:pt>
                <c:pt idx="3">
                  <c:v>14259</c:v>
                </c:pt>
                <c:pt idx="4">
                  <c:v>14412</c:v>
                </c:pt>
                <c:pt idx="5">
                  <c:v>14735</c:v>
                </c:pt>
                <c:pt idx="6">
                  <c:v>18071</c:v>
                </c:pt>
                <c:pt idx="7">
                  <c:v>19351.5</c:v>
                </c:pt>
                <c:pt idx="8">
                  <c:v>19364</c:v>
                </c:pt>
                <c:pt idx="9">
                  <c:v>19367.5</c:v>
                </c:pt>
                <c:pt idx="10">
                  <c:v>19369.5</c:v>
                </c:pt>
                <c:pt idx="11">
                  <c:v>19431.5</c:v>
                </c:pt>
                <c:pt idx="12">
                  <c:v>19465.5</c:v>
                </c:pt>
                <c:pt idx="13">
                  <c:v>19545.5</c:v>
                </c:pt>
                <c:pt idx="14">
                  <c:v>20739.5</c:v>
                </c:pt>
                <c:pt idx="15">
                  <c:v>20832</c:v>
                </c:pt>
                <c:pt idx="16">
                  <c:v>22102</c:v>
                </c:pt>
                <c:pt idx="17">
                  <c:v>23795.5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95-45EF-9EBE-B51D4F0C0BA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6">
                    <c:v>1.2999999999999999E-3</c:v>
                  </c:pt>
                  <c:pt idx="7">
                    <c:v>1.1999999999999999E-3</c:v>
                  </c:pt>
                  <c:pt idx="8">
                    <c:v>1.6999999999999999E-3</c:v>
                  </c:pt>
                  <c:pt idx="9">
                    <c:v>1.1000000000000001E-3</c:v>
                  </c:pt>
                  <c:pt idx="10">
                    <c:v>1.2999999999999999E-3</c:v>
                  </c:pt>
                  <c:pt idx="11">
                    <c:v>3.0000000000000001E-3</c:v>
                  </c:pt>
                  <c:pt idx="12">
                    <c:v>1.2999999999999999E-3</c:v>
                  </c:pt>
                  <c:pt idx="13">
                    <c:v>1.2999999999999999E-3</c:v>
                  </c:pt>
                  <c:pt idx="14">
                    <c:v>1.4E-3</c:v>
                  </c:pt>
                  <c:pt idx="15">
                    <c:v>5.9999999999999995E-4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12989</c:v>
                </c:pt>
                <c:pt idx="2">
                  <c:v>14202</c:v>
                </c:pt>
                <c:pt idx="3">
                  <c:v>14259</c:v>
                </c:pt>
                <c:pt idx="4">
                  <c:v>14412</c:v>
                </c:pt>
                <c:pt idx="5">
                  <c:v>14735</c:v>
                </c:pt>
                <c:pt idx="6">
                  <c:v>18071</c:v>
                </c:pt>
                <c:pt idx="7">
                  <c:v>19351.5</c:v>
                </c:pt>
                <c:pt idx="8">
                  <c:v>19364</c:v>
                </c:pt>
                <c:pt idx="9">
                  <c:v>19367.5</c:v>
                </c:pt>
                <c:pt idx="10">
                  <c:v>19369.5</c:v>
                </c:pt>
                <c:pt idx="11">
                  <c:v>19431.5</c:v>
                </c:pt>
                <c:pt idx="12">
                  <c:v>19465.5</c:v>
                </c:pt>
                <c:pt idx="13">
                  <c:v>19545.5</c:v>
                </c:pt>
                <c:pt idx="14">
                  <c:v>20739.5</c:v>
                </c:pt>
                <c:pt idx="15">
                  <c:v>20832</c:v>
                </c:pt>
                <c:pt idx="16">
                  <c:v>22102</c:v>
                </c:pt>
                <c:pt idx="17">
                  <c:v>23795.5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95-45EF-9EBE-B51D4F0C0BA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12989</c:v>
                </c:pt>
                <c:pt idx="2">
                  <c:v>14202</c:v>
                </c:pt>
                <c:pt idx="3">
                  <c:v>14259</c:v>
                </c:pt>
                <c:pt idx="4">
                  <c:v>14412</c:v>
                </c:pt>
                <c:pt idx="5">
                  <c:v>14735</c:v>
                </c:pt>
                <c:pt idx="6">
                  <c:v>18071</c:v>
                </c:pt>
                <c:pt idx="7">
                  <c:v>19351.5</c:v>
                </c:pt>
                <c:pt idx="8">
                  <c:v>19364</c:v>
                </c:pt>
                <c:pt idx="9">
                  <c:v>19367.5</c:v>
                </c:pt>
                <c:pt idx="10">
                  <c:v>19369.5</c:v>
                </c:pt>
                <c:pt idx="11">
                  <c:v>19431.5</c:v>
                </c:pt>
                <c:pt idx="12">
                  <c:v>19465.5</c:v>
                </c:pt>
                <c:pt idx="13">
                  <c:v>19545.5</c:v>
                </c:pt>
                <c:pt idx="14">
                  <c:v>20739.5</c:v>
                </c:pt>
                <c:pt idx="15">
                  <c:v>20832</c:v>
                </c:pt>
                <c:pt idx="16">
                  <c:v>22102</c:v>
                </c:pt>
                <c:pt idx="17">
                  <c:v>23795.5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-2.4248688768286987E-2</c:v>
                </c:pt>
                <c:pt idx="1">
                  <c:v>3.1450453191073438E-4</c:v>
                </c:pt>
                <c:pt idx="2">
                  <c:v>2.6083803863367755E-3</c:v>
                </c:pt>
                <c:pt idx="3">
                  <c:v>2.7161717496527529E-3</c:v>
                </c:pt>
                <c:pt idx="4">
                  <c:v>3.005506461711438E-3</c:v>
                </c:pt>
                <c:pt idx="5">
                  <c:v>3.6163241871686597E-3</c:v>
                </c:pt>
                <c:pt idx="6">
                  <c:v>9.9249555559776242E-3</c:v>
                </c:pt>
                <c:pt idx="7">
                  <c:v>1.2346479077488377E-2</c:v>
                </c:pt>
                <c:pt idx="8">
                  <c:v>1.2370117534355914E-2</c:v>
                </c:pt>
                <c:pt idx="9">
                  <c:v>1.2376736302278826E-2</c:v>
                </c:pt>
                <c:pt idx="10">
                  <c:v>1.2380518455377632E-2</c:v>
                </c:pt>
                <c:pt idx="11">
                  <c:v>1.2497765201440629E-2</c:v>
                </c:pt>
                <c:pt idx="12">
                  <c:v>1.2562061804120339E-2</c:v>
                </c:pt>
                <c:pt idx="13">
                  <c:v>1.2713347928072591E-2</c:v>
                </c:pt>
                <c:pt idx="14">
                  <c:v>1.4971293328059972E-2</c:v>
                </c:pt>
                <c:pt idx="15">
                  <c:v>1.5146217908879767E-2</c:v>
                </c:pt>
                <c:pt idx="16">
                  <c:v>1.7547885126621782E-2</c:v>
                </c:pt>
                <c:pt idx="17">
                  <c:v>2.0750423263036048E-2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95-45EF-9EBE-B51D4F0C0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331320"/>
        <c:axId val="1"/>
      </c:scatterChart>
      <c:valAx>
        <c:axId val="60233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331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9256198347107439E-2"/>
          <c:y val="0.91874999999999996"/>
          <c:w val="0.9917364048502201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1066800</xdr:colOff>
      <xdr:row>0</xdr:row>
      <xdr:rowOff>0</xdr:rowOff>
    </xdr:from>
    <xdr:to>
      <xdr:col>18</xdr:col>
      <xdr:colOff>114300</xdr:colOff>
      <xdr:row>18</xdr:row>
      <xdr:rowOff>114300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FB04F051-C46D-E39E-53E2-33E7090A7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276225</xdr:colOff>
      <xdr:row>0</xdr:row>
      <xdr:rowOff>9525</xdr:rowOff>
    </xdr:from>
    <xdr:to>
      <xdr:col>27</xdr:col>
      <xdr:colOff>123825</xdr:colOff>
      <xdr:row>19</xdr:row>
      <xdr:rowOff>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18B5376B-1A30-4D9F-5989-6E144EDD1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D1BB1B-D276-3078-0B4C-098D00A03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bav-astro.de/sfs/BAVM_link.php?BAVMnr=23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www.bav-astro.de/sfs/BAVM_link.php?BAVMnr=23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7"/>
  <sheetViews>
    <sheetView tabSelected="1" workbookViewId="0">
      <pane xSplit="14" ySplit="22" topLeftCell="O36" activePane="bottomRight" state="frozen"/>
      <selection pane="topRight" activeCell="O1" sqref="O1"/>
      <selection pane="bottomLeft" activeCell="A23" sqref="A23"/>
      <selection pane="bottomRight" activeCell="A54" sqref="A5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28515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>
      <c r="A1" s="1" t="s">
        <v>62</v>
      </c>
    </row>
    <row r="2" spans="1:6">
      <c r="A2" t="s">
        <v>27</v>
      </c>
      <c r="B2" s="15" t="s">
        <v>46</v>
      </c>
    </row>
    <row r="4" spans="1:6" ht="14.25" thickTop="1" thickBot="1">
      <c r="A4" s="8" t="s">
        <v>0</v>
      </c>
      <c r="C4" s="3">
        <v>39024.404999999999</v>
      </c>
      <c r="D4" s="4">
        <v>0.56140000000000001</v>
      </c>
    </row>
    <row r="5" spans="1:6" ht="13.5" thickTop="1">
      <c r="A5" s="21" t="s">
        <v>49</v>
      </c>
      <c r="B5" s="16"/>
      <c r="C5" s="22">
        <v>-9.5</v>
      </c>
      <c r="D5" s="16" t="s">
        <v>50</v>
      </c>
      <c r="E5" s="16"/>
    </row>
    <row r="6" spans="1:6">
      <c r="A6" s="8" t="s">
        <v>1</v>
      </c>
    </row>
    <row r="7" spans="1:6">
      <c r="A7" t="s">
        <v>2</v>
      </c>
      <c r="C7">
        <f>+C4</f>
        <v>39024.404999999999</v>
      </c>
    </row>
    <row r="8" spans="1:6">
      <c r="A8" t="s">
        <v>3</v>
      </c>
      <c r="C8" s="19">
        <v>0.56122000000000005</v>
      </c>
    </row>
    <row r="9" spans="1:6">
      <c r="A9" s="33" t="s">
        <v>54</v>
      </c>
      <c r="C9" s="34">
        <v>21</v>
      </c>
      <c r="D9" s="24" t="str">
        <f>"F"&amp;C9</f>
        <v>F21</v>
      </c>
      <c r="E9" s="25" t="str">
        <f>"G"&amp;C9</f>
        <v>G21</v>
      </c>
    </row>
    <row r="10" spans="1:6" ht="13.5" thickBot="1">
      <c r="A10" s="16"/>
      <c r="B10" s="16"/>
      <c r="C10" s="7" t="s">
        <v>22</v>
      </c>
      <c r="D10" s="7" t="s">
        <v>23</v>
      </c>
      <c r="E10" s="16"/>
    </row>
    <row r="11" spans="1:6">
      <c r="A11" s="16" t="s">
        <v>16</v>
      </c>
      <c r="B11" s="16"/>
      <c r="C11" s="23">
        <f ca="1">INTERCEPT(INDIRECT($E$9):G992,INDIRECT($D$9):F992)</f>
        <v>-6.482402790816251E-3</v>
      </c>
      <c r="D11" s="6"/>
      <c r="E11" s="16"/>
    </row>
    <row r="12" spans="1:6">
      <c r="A12" s="16" t="s">
        <v>17</v>
      </c>
      <c r="B12" s="16"/>
      <c r="C12" s="23">
        <f ca="1">SLOPE(INDIRECT($E$9):G992,INDIRECT($D$9):F992)</f>
        <v>-1.3055499958042163E-6</v>
      </c>
      <c r="D12" s="6"/>
      <c r="E12" s="16"/>
    </row>
    <row r="13" spans="1:6">
      <c r="A13" s="16" t="s">
        <v>21</v>
      </c>
      <c r="B13" s="16"/>
      <c r="C13" s="6" t="s">
        <v>14</v>
      </c>
    </row>
    <row r="14" spans="1:6">
      <c r="A14" s="16"/>
      <c r="B14" s="16"/>
      <c r="C14" s="16"/>
    </row>
    <row r="15" spans="1:6">
      <c r="A15" s="26" t="s">
        <v>18</v>
      </c>
      <c r="B15" s="16"/>
      <c r="C15" s="12">
        <f ca="1">(C7+C11)+(C8+C12)*INT(MAX(F21:F3533))</f>
        <v>56814.469912967892</v>
      </c>
      <c r="E15" s="27" t="s">
        <v>57</v>
      </c>
      <c r="F15" s="22">
        <v>1</v>
      </c>
    </row>
    <row r="16" spans="1:6">
      <c r="A16" s="29" t="s">
        <v>4</v>
      </c>
      <c r="B16" s="16"/>
      <c r="C16" s="13">
        <f ca="1">+C8+C12</f>
        <v>0.56121869445000427</v>
      </c>
      <c r="E16" s="27" t="s">
        <v>51</v>
      </c>
      <c r="F16" s="28">
        <f ca="1">NOW()+15018.5+$C$5/24</f>
        <v>60320.699941782404</v>
      </c>
    </row>
    <row r="17" spans="1:32" ht="13.5" thickBot="1">
      <c r="A17" s="27" t="s">
        <v>45</v>
      </c>
      <c r="B17" s="16"/>
      <c r="C17" s="16">
        <f>COUNT(C21:C2191)</f>
        <v>34</v>
      </c>
      <c r="E17" s="27" t="s">
        <v>58</v>
      </c>
      <c r="F17" s="28">
        <f ca="1">ROUND(2*(F16-$C$7)/$C$8,0)/2+F15</f>
        <v>37947.5</v>
      </c>
    </row>
    <row r="18" spans="1:32" ht="14.25" thickTop="1" thickBot="1">
      <c r="A18" s="29" t="s">
        <v>5</v>
      </c>
      <c r="B18" s="16"/>
      <c r="C18" s="31">
        <f ca="1">+C15</f>
        <v>56814.469912967892</v>
      </c>
      <c r="D18" s="32">
        <f ca="1">+C16</f>
        <v>0.56121869445000427</v>
      </c>
      <c r="E18" s="27" t="s">
        <v>52</v>
      </c>
      <c r="F18" s="25">
        <f ca="1">ROUND(2*(F16-$C$15)/$C$16,0)/2+F15</f>
        <v>6248.5</v>
      </c>
    </row>
    <row r="19" spans="1:32" ht="13.5" thickTop="1">
      <c r="E19" s="27" t="s">
        <v>53</v>
      </c>
      <c r="F19" s="30">
        <f ca="1">+$C$15+$C$16*F18-15018.5-$C$5/24</f>
        <v>45303.140758572081</v>
      </c>
      <c r="S19">
        <f ca="1">SUM(S21:S37)</f>
        <v>9.6106069817417927E-2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73</v>
      </c>
      <c r="I20" s="10" t="s">
        <v>76</v>
      </c>
      <c r="J20" s="10" t="s">
        <v>70</v>
      </c>
      <c r="K20" s="10" t="s">
        <v>56</v>
      </c>
      <c r="L20" s="10" t="s">
        <v>210</v>
      </c>
      <c r="M20" s="10" t="s">
        <v>211</v>
      </c>
      <c r="N20" s="10" t="s">
        <v>212</v>
      </c>
      <c r="O20" s="10" t="s">
        <v>25</v>
      </c>
      <c r="P20" s="9" t="s">
        <v>24</v>
      </c>
      <c r="Q20" s="7" t="s">
        <v>15</v>
      </c>
      <c r="R20" s="51" t="s">
        <v>61</v>
      </c>
    </row>
    <row r="21" spans="1:32">
      <c r="A21" s="42" t="s">
        <v>82</v>
      </c>
      <c r="B21" s="36" t="s">
        <v>64</v>
      </c>
      <c r="C21" s="40">
        <v>36811.355000000003</v>
      </c>
      <c r="D21" s="40" t="s">
        <v>76</v>
      </c>
      <c r="E21" s="19">
        <f t="shared" ref="E21:E54" si="0">+(C21-C$7)/C$8</f>
        <v>-3943.2842735469076</v>
      </c>
      <c r="F21" s="35">
        <f t="shared" ref="F21:F54" si="1">ROUND(2*E21,0)/2</f>
        <v>-3943.5</v>
      </c>
      <c r="H21" s="35"/>
      <c r="I21" s="35"/>
      <c r="K21" s="35"/>
      <c r="L21" s="35"/>
      <c r="M21" s="35"/>
      <c r="N21" s="35"/>
      <c r="O21" s="35">
        <f t="shared" ref="O21:O54" ca="1" si="2">+C$11+C$12*F21</f>
        <v>-1.3339663823623239E-3</v>
      </c>
      <c r="P21" s="35"/>
      <c r="Q21" s="37">
        <f t="shared" ref="Q21:Q54" si="3">+C21-15018.5</f>
        <v>21792.855000000003</v>
      </c>
      <c r="R21" s="35">
        <f t="shared" ref="R21:R28" si="4">+C21-(C$7+F21*C$8)</f>
        <v>0.12107000000105472</v>
      </c>
      <c r="S21" s="35">
        <f t="shared" ref="S21:S28" ca="1" si="5">+(O21-R21)^2</f>
        <v>1.4982730986392691E-2</v>
      </c>
      <c r="T21" s="35"/>
      <c r="U21" s="35"/>
      <c r="V21" s="35"/>
      <c r="W21" s="35"/>
    </row>
    <row r="22" spans="1:32">
      <c r="A22" s="42" t="s">
        <v>82</v>
      </c>
      <c r="B22" s="36" t="s">
        <v>64</v>
      </c>
      <c r="C22" s="40">
        <v>36812.480000000003</v>
      </c>
      <c r="D22" s="40" t="s">
        <v>76</v>
      </c>
      <c r="E22" s="19">
        <f t="shared" si="0"/>
        <v>-3941.2797120558703</v>
      </c>
      <c r="F22" s="35">
        <f t="shared" si="1"/>
        <v>-3941.5</v>
      </c>
      <c r="H22" s="35"/>
      <c r="I22" s="35"/>
      <c r="K22" s="35"/>
      <c r="L22" s="35"/>
      <c r="M22" s="35"/>
      <c r="N22" s="35"/>
      <c r="O22" s="35">
        <f t="shared" ca="1" si="2"/>
        <v>-1.3365774823539322E-3</v>
      </c>
      <c r="P22" s="35"/>
      <c r="Q22" s="37">
        <f t="shared" si="3"/>
        <v>21793.980000000003</v>
      </c>
      <c r="R22" s="35">
        <f t="shared" si="4"/>
        <v>0.1236300000018673</v>
      </c>
      <c r="S22" s="35">
        <f t="shared" ca="1" si="5"/>
        <v>1.5616645488119868E-2</v>
      </c>
      <c r="T22" s="35"/>
      <c r="U22" s="35"/>
      <c r="V22" s="35"/>
      <c r="W22" s="35"/>
      <c r="AB22" s="6">
        <v>8</v>
      </c>
      <c r="AD22" t="s">
        <v>31</v>
      </c>
      <c r="AF22" t="s">
        <v>33</v>
      </c>
    </row>
    <row r="23" spans="1:32">
      <c r="A23" s="42" t="s">
        <v>82</v>
      </c>
      <c r="B23" s="36" t="s">
        <v>64</v>
      </c>
      <c r="C23" s="40">
        <v>36816.43</v>
      </c>
      <c r="D23" s="40" t="s">
        <v>76</v>
      </c>
      <c r="E23" s="19">
        <f t="shared" si="0"/>
        <v>-3934.2414739317883</v>
      </c>
      <c r="F23" s="35">
        <f t="shared" si="1"/>
        <v>-3934</v>
      </c>
      <c r="H23" s="35"/>
      <c r="I23" s="35"/>
      <c r="K23" s="35"/>
      <c r="L23" s="35"/>
      <c r="M23" s="35"/>
      <c r="N23" s="35"/>
      <c r="O23" s="35">
        <f t="shared" ca="1" si="2"/>
        <v>-1.3463691073224643E-3</v>
      </c>
      <c r="P23" s="35"/>
      <c r="Q23" s="37">
        <f t="shared" si="3"/>
        <v>21797.93</v>
      </c>
      <c r="R23" s="35">
        <f t="shared" si="4"/>
        <v>-0.13551999999617692</v>
      </c>
      <c r="S23" s="35">
        <f t="shared" ca="1" si="5"/>
        <v>1.8002563225898556E-2</v>
      </c>
      <c r="T23" s="35"/>
      <c r="U23" s="35"/>
      <c r="V23" s="35"/>
      <c r="W23" s="35"/>
      <c r="AB23" s="6">
        <v>6</v>
      </c>
      <c r="AD23" t="s">
        <v>31</v>
      </c>
      <c r="AF23" t="s">
        <v>33</v>
      </c>
    </row>
    <row r="24" spans="1:32">
      <c r="A24" s="42" t="s">
        <v>82</v>
      </c>
      <c r="B24" s="36" t="s">
        <v>42</v>
      </c>
      <c r="C24" s="40">
        <v>36818.42</v>
      </c>
      <c r="D24" s="40" t="s">
        <v>76</v>
      </c>
      <c r="E24" s="19">
        <f t="shared" si="0"/>
        <v>-3930.6956273832016</v>
      </c>
      <c r="F24" s="35">
        <f t="shared" si="1"/>
        <v>-3930.5</v>
      </c>
      <c r="H24" s="35"/>
      <c r="I24" s="35"/>
      <c r="K24" s="35"/>
      <c r="L24" s="35"/>
      <c r="M24" s="35"/>
      <c r="N24" s="35"/>
      <c r="O24" s="35">
        <f t="shared" ca="1" si="2"/>
        <v>-1.3509385323077789E-3</v>
      </c>
      <c r="P24" s="35"/>
      <c r="Q24" s="37">
        <f t="shared" si="3"/>
        <v>21799.919999999998</v>
      </c>
      <c r="R24" s="35">
        <f t="shared" si="4"/>
        <v>-0.10979000000224914</v>
      </c>
      <c r="S24" s="35">
        <f t="shared" ca="1" si="5"/>
        <v>1.1759030052481722E-2</v>
      </c>
      <c r="T24" s="35"/>
      <c r="U24" s="35"/>
      <c r="V24" s="35"/>
      <c r="W24" s="35"/>
      <c r="AB24" s="6">
        <v>6</v>
      </c>
      <c r="AD24" t="s">
        <v>31</v>
      </c>
      <c r="AF24" t="s">
        <v>33</v>
      </c>
    </row>
    <row r="25" spans="1:32">
      <c r="A25" s="42" t="s">
        <v>82</v>
      </c>
      <c r="B25" s="36" t="s">
        <v>42</v>
      </c>
      <c r="C25" s="40">
        <v>36819.58</v>
      </c>
      <c r="D25" s="40" t="s">
        <v>76</v>
      </c>
      <c r="E25" s="19">
        <f t="shared" si="0"/>
        <v>-3928.6287017568811</v>
      </c>
      <c r="F25" s="35">
        <f t="shared" si="1"/>
        <v>-3928.5</v>
      </c>
      <c r="H25" s="35"/>
      <c r="I25" s="35"/>
      <c r="K25" s="35"/>
      <c r="L25" s="35"/>
      <c r="M25" s="35"/>
      <c r="N25" s="35"/>
      <c r="O25" s="35">
        <f t="shared" ca="1" si="2"/>
        <v>-1.3535496322993872E-3</v>
      </c>
      <c r="P25" s="35"/>
      <c r="Q25" s="37">
        <f t="shared" si="3"/>
        <v>21801.08</v>
      </c>
      <c r="R25" s="35">
        <f t="shared" si="4"/>
        <v>-7.2229999997944105E-2</v>
      </c>
      <c r="S25" s="35">
        <f t="shared" ca="1" si="5"/>
        <v>5.0234712164336989E-3</v>
      </c>
      <c r="T25" s="35"/>
      <c r="U25" s="35"/>
      <c r="V25" s="35"/>
      <c r="W25" s="35"/>
      <c r="AB25" s="6">
        <v>7</v>
      </c>
      <c r="AD25" t="s">
        <v>31</v>
      </c>
      <c r="AF25" t="s">
        <v>33</v>
      </c>
    </row>
    <row r="26" spans="1:32">
      <c r="A26" s="42" t="s">
        <v>82</v>
      </c>
      <c r="B26" s="36" t="s">
        <v>64</v>
      </c>
      <c r="C26" s="40">
        <v>36820.39</v>
      </c>
      <c r="D26" s="40" t="s">
        <v>76</v>
      </c>
      <c r="E26" s="19">
        <f t="shared" si="0"/>
        <v>-3927.1854174833384</v>
      </c>
      <c r="F26" s="35">
        <f t="shared" si="1"/>
        <v>-3927</v>
      </c>
      <c r="H26" s="35"/>
      <c r="I26" s="35"/>
      <c r="K26" s="35"/>
      <c r="L26" s="35"/>
      <c r="M26" s="35"/>
      <c r="N26" s="35"/>
      <c r="O26" s="35">
        <f t="shared" ca="1" si="2"/>
        <v>-1.3555079572930935E-3</v>
      </c>
      <c r="P26" s="35"/>
      <c r="Q26" s="37">
        <f t="shared" si="3"/>
        <v>21801.89</v>
      </c>
      <c r="R26" s="35">
        <f t="shared" si="4"/>
        <v>-0.10405999999784399</v>
      </c>
      <c r="S26" s="35">
        <f t="shared" ca="1" si="5"/>
        <v>1.0548212685307581E-2</v>
      </c>
      <c r="T26" s="35"/>
      <c r="U26" s="35"/>
      <c r="V26" s="35"/>
      <c r="W26" s="35"/>
      <c r="AB26" s="6">
        <v>6</v>
      </c>
      <c r="AD26" t="s">
        <v>31</v>
      </c>
      <c r="AF26" t="s">
        <v>33</v>
      </c>
    </row>
    <row r="27" spans="1:32">
      <c r="A27" s="42" t="s">
        <v>82</v>
      </c>
      <c r="B27" s="36" t="s">
        <v>64</v>
      </c>
      <c r="C27" s="40">
        <v>36821.5</v>
      </c>
      <c r="D27" s="40" t="s">
        <v>76</v>
      </c>
      <c r="E27" s="19">
        <f t="shared" si="0"/>
        <v>-3925.207583478847</v>
      </c>
      <c r="F27" s="35">
        <f t="shared" si="1"/>
        <v>-3925</v>
      </c>
      <c r="H27" s="35"/>
      <c r="I27" s="35"/>
      <c r="K27" s="35"/>
      <c r="L27" s="35"/>
      <c r="M27" s="35"/>
      <c r="N27" s="35"/>
      <c r="O27" s="35">
        <f t="shared" ca="1" si="2"/>
        <v>-1.3581190572847018E-3</v>
      </c>
      <c r="P27" s="35"/>
      <c r="Q27" s="37">
        <f t="shared" si="3"/>
        <v>21803</v>
      </c>
      <c r="R27" s="35">
        <f t="shared" si="4"/>
        <v>-0.11649999999644933</v>
      </c>
      <c r="S27" s="35">
        <f t="shared" ca="1" si="5"/>
        <v>1.3257652746208765E-2</v>
      </c>
      <c r="T27" s="35"/>
      <c r="U27" s="35"/>
      <c r="V27" s="35"/>
      <c r="W27" s="35"/>
    </row>
    <row r="28" spans="1:32">
      <c r="A28" s="35" t="s">
        <v>12</v>
      </c>
      <c r="B28" s="35"/>
      <c r="C28" s="40">
        <v>39024.404999999999</v>
      </c>
      <c r="D28" s="40" t="s">
        <v>14</v>
      </c>
      <c r="E28" s="35">
        <f t="shared" si="0"/>
        <v>0</v>
      </c>
      <c r="F28" s="35">
        <f t="shared" si="1"/>
        <v>0</v>
      </c>
      <c r="H28" s="35"/>
      <c r="I28" s="35"/>
      <c r="J28" s="35"/>
      <c r="K28" s="35"/>
      <c r="L28" s="35"/>
      <c r="M28" s="35"/>
      <c r="N28" s="35"/>
      <c r="O28" s="35">
        <f t="shared" ca="1" si="2"/>
        <v>-6.482402790816251E-3</v>
      </c>
      <c r="P28" s="35"/>
      <c r="Q28" s="37">
        <f t="shared" si="3"/>
        <v>24005.904999999999</v>
      </c>
      <c r="R28" s="35">
        <f t="shared" si="4"/>
        <v>0</v>
      </c>
      <c r="S28" s="35">
        <f t="shared" ca="1" si="5"/>
        <v>4.2021545942382322E-5</v>
      </c>
      <c r="T28" s="35"/>
      <c r="U28" s="35"/>
      <c r="V28" s="35"/>
      <c r="W28" s="35"/>
    </row>
    <row r="29" spans="1:32">
      <c r="A29" s="35" t="s">
        <v>32</v>
      </c>
      <c r="B29" s="36"/>
      <c r="C29" s="40">
        <v>46316.321000000004</v>
      </c>
      <c r="D29" s="40"/>
      <c r="E29" s="35">
        <f t="shared" si="0"/>
        <v>12992.972452870539</v>
      </c>
      <c r="F29" s="35">
        <f t="shared" si="1"/>
        <v>12993</v>
      </c>
      <c r="G29" s="42"/>
      <c r="H29" s="35"/>
      <c r="J29" s="35"/>
      <c r="K29" s="35"/>
      <c r="L29" s="35"/>
      <c r="M29" s="35"/>
      <c r="N29" s="35"/>
      <c r="O29" s="35">
        <f t="shared" ca="1" si="2"/>
        <v>-2.3445413886300434E-2</v>
      </c>
      <c r="P29" s="35"/>
      <c r="Q29" s="37">
        <f t="shared" si="3"/>
        <v>31297.821000000004</v>
      </c>
      <c r="R29" s="42">
        <v>-1.5459999995073304E-2</v>
      </c>
      <c r="S29" s="35">
        <f ca="1">+(O29-G29)^2</f>
        <v>5.4968743229992924E-4</v>
      </c>
      <c r="T29" s="35"/>
      <c r="U29" s="35"/>
      <c r="V29" s="35"/>
      <c r="W29" s="35"/>
    </row>
    <row r="30" spans="1:32">
      <c r="A30" s="35" t="s">
        <v>34</v>
      </c>
      <c r="B30" s="36"/>
      <c r="C30" s="40">
        <v>46997.387999999999</v>
      </c>
      <c r="D30" s="40"/>
      <c r="E30" s="35">
        <f t="shared" si="0"/>
        <v>14206.519724885071</v>
      </c>
      <c r="F30" s="35">
        <f t="shared" si="1"/>
        <v>14206.5</v>
      </c>
      <c r="G30" s="42"/>
      <c r="H30" s="35"/>
      <c r="J30" s="35"/>
      <c r="K30" s="35"/>
      <c r="L30" s="35"/>
      <c r="M30" s="35"/>
      <c r="N30" s="35"/>
      <c r="O30" s="35">
        <f t="shared" ca="1" si="2"/>
        <v>-2.5029698806208849E-2</v>
      </c>
      <c r="P30" s="35"/>
      <c r="Q30" s="37">
        <f t="shared" si="3"/>
        <v>31978.887999999999</v>
      </c>
      <c r="R30" s="42">
        <v>1.1070000000472646E-2</v>
      </c>
      <c r="S30" s="35">
        <f ca="1">+(O30-G30)^2</f>
        <v>6.2648582232953268E-4</v>
      </c>
      <c r="T30" s="35"/>
      <c r="U30" s="35"/>
      <c r="V30" s="35"/>
      <c r="W30" s="35"/>
    </row>
    <row r="31" spans="1:32">
      <c r="A31" s="35" t="s">
        <v>35</v>
      </c>
      <c r="B31" s="36"/>
      <c r="C31" s="40">
        <v>47029.366999999998</v>
      </c>
      <c r="D31" s="40"/>
      <c r="E31" s="35">
        <f t="shared" si="0"/>
        <v>14263.50094437119</v>
      </c>
      <c r="F31" s="35">
        <f t="shared" si="1"/>
        <v>14263.5</v>
      </c>
      <c r="G31" s="42"/>
      <c r="H31" s="35"/>
      <c r="J31" s="35"/>
      <c r="K31" s="35"/>
      <c r="L31" s="35"/>
      <c r="M31" s="35"/>
      <c r="N31" s="35"/>
      <c r="O31" s="35">
        <f t="shared" ca="1" si="2"/>
        <v>-2.5104115155969692E-2</v>
      </c>
      <c r="P31" s="35"/>
      <c r="Q31" s="37">
        <f t="shared" si="3"/>
        <v>32010.866999999998</v>
      </c>
      <c r="R31" s="42">
        <v>5.2999999752501026E-4</v>
      </c>
      <c r="S31" s="35">
        <f ca="1">+(O31-G31)^2</f>
        <v>6.3021659776418717E-4</v>
      </c>
      <c r="T31" s="35"/>
      <c r="U31" s="35"/>
      <c r="V31" s="35"/>
      <c r="W31" s="35"/>
    </row>
    <row r="32" spans="1:32">
      <c r="A32" s="35" t="s">
        <v>36</v>
      </c>
      <c r="B32" s="36"/>
      <c r="C32" s="40">
        <v>47115.232000000004</v>
      </c>
      <c r="D32" s="40"/>
      <c r="E32" s="35">
        <f t="shared" si="0"/>
        <v>14416.497986529354</v>
      </c>
      <c r="F32" s="35">
        <f t="shared" si="1"/>
        <v>14416.5</v>
      </c>
      <c r="G32" s="42"/>
      <c r="H32" s="35"/>
      <c r="J32" s="35"/>
      <c r="K32" s="35"/>
      <c r="L32" s="35"/>
      <c r="M32" s="35"/>
      <c r="N32" s="35"/>
      <c r="O32" s="35">
        <f t="shared" ca="1" si="2"/>
        <v>-2.5303864305327734E-2</v>
      </c>
      <c r="P32" s="35"/>
      <c r="Q32" s="37">
        <f t="shared" si="3"/>
        <v>32096.732000000004</v>
      </c>
      <c r="R32" s="42">
        <v>-1.1299999969196506E-3</v>
      </c>
      <c r="S32" s="35">
        <f ca="1">+(O32-G32)^2</f>
        <v>6.4028554878243897E-4</v>
      </c>
      <c r="T32" s="35"/>
      <c r="U32" s="35"/>
      <c r="V32" s="35"/>
      <c r="W32" s="35"/>
      <c r="AB32" s="6">
        <v>17</v>
      </c>
      <c r="AD32" t="s">
        <v>38</v>
      </c>
      <c r="AF32" t="s">
        <v>33</v>
      </c>
    </row>
    <row r="33" spans="1:32">
      <c r="A33" s="35" t="s">
        <v>37</v>
      </c>
      <c r="B33" s="36"/>
      <c r="C33" s="40">
        <v>47296.548000000003</v>
      </c>
      <c r="D33" s="40"/>
      <c r="E33" s="35">
        <f t="shared" si="0"/>
        <v>14739.572716581737</v>
      </c>
      <c r="F33" s="35">
        <f t="shared" si="1"/>
        <v>14739.5</v>
      </c>
      <c r="G33" s="42"/>
      <c r="H33" s="35"/>
      <c r="J33" s="35"/>
      <c r="K33" s="35"/>
      <c r="L33" s="35"/>
      <c r="M33" s="35"/>
      <c r="N33" s="35"/>
      <c r="O33" s="35">
        <f t="shared" ca="1" si="2"/>
        <v>-2.5725556953972498E-2</v>
      </c>
      <c r="P33" s="35"/>
      <c r="Q33" s="37">
        <f t="shared" si="3"/>
        <v>32278.048000000003</v>
      </c>
      <c r="R33" s="42">
        <v>4.0809999998600688E-2</v>
      </c>
      <c r="S33" s="35">
        <f ca="1">+(O33-G33)^2</f>
        <v>6.6180428059208277E-4</v>
      </c>
      <c r="T33" s="35"/>
      <c r="U33" s="35"/>
      <c r="V33" s="35"/>
      <c r="W33" s="35"/>
    </row>
    <row r="34" spans="1:32">
      <c r="A34" s="42" t="s">
        <v>133</v>
      </c>
      <c r="B34" s="36" t="s">
        <v>64</v>
      </c>
      <c r="C34" s="40">
        <v>48127.427000000003</v>
      </c>
      <c r="D34" s="40" t="s">
        <v>76</v>
      </c>
      <c r="E34" s="19">
        <f t="shared" si="0"/>
        <v>16220.059869569872</v>
      </c>
      <c r="F34" s="35">
        <f t="shared" si="1"/>
        <v>16220</v>
      </c>
      <c r="H34" s="35"/>
      <c r="I34" s="35"/>
      <c r="K34" s="35"/>
      <c r="L34" s="35"/>
      <c r="M34" s="35"/>
      <c r="N34" s="35"/>
      <c r="O34" s="35">
        <f t="shared" ca="1" si="2"/>
        <v>-2.7658423722760641E-2</v>
      </c>
      <c r="P34" s="35"/>
      <c r="Q34" s="37">
        <f t="shared" si="3"/>
        <v>33108.927000000003</v>
      </c>
      <c r="R34" s="35">
        <f>+C34-(C$7+F34*C$8)</f>
        <v>3.3600000002479646E-2</v>
      </c>
      <c r="S34" s="35">
        <f ca="1">+(O34-R34)^2</f>
        <v>3.7525944773010825E-3</v>
      </c>
      <c r="T34" s="35"/>
      <c r="U34" s="35"/>
      <c r="V34" s="35"/>
      <c r="W34" s="35"/>
    </row>
    <row r="35" spans="1:32">
      <c r="A35" s="38" t="s">
        <v>47</v>
      </c>
      <c r="B35" s="39"/>
      <c r="C35" s="40">
        <v>49169.546300000002</v>
      </c>
      <c r="D35" s="40">
        <v>1.2999999999999999E-3</v>
      </c>
      <c r="E35" s="35">
        <f t="shared" si="0"/>
        <v>18076.941840989279</v>
      </c>
      <c r="F35" s="35">
        <f t="shared" si="1"/>
        <v>18077</v>
      </c>
      <c r="G35" s="35">
        <f t="shared" ref="G35:G54" si="6">+C35-(C$7+F35*C$8)</f>
        <v>-3.2639999997627456E-2</v>
      </c>
      <c r="H35" s="35"/>
      <c r="I35" s="35">
        <f t="shared" ref="I35:I43" si="7">G35</f>
        <v>-3.2639999997627456E-2</v>
      </c>
      <c r="K35" s="35"/>
      <c r="L35" s="35"/>
      <c r="M35" s="35"/>
      <c r="N35" s="35"/>
      <c r="O35" s="35">
        <f t="shared" ca="1" si="2"/>
        <v>-3.008283006496907E-2</v>
      </c>
      <c r="P35" s="35"/>
      <c r="Q35" s="37">
        <f t="shared" si="3"/>
        <v>34151.046300000002</v>
      </c>
      <c r="R35" s="37"/>
      <c r="S35" s="35">
        <f t="shared" ref="S35:S54" ca="1" si="8">+(O35-G35)^2</f>
        <v>6.5391180644920949E-6</v>
      </c>
      <c r="T35" s="35"/>
      <c r="U35" s="35"/>
      <c r="V35" s="35"/>
      <c r="W35" s="35"/>
    </row>
    <row r="36" spans="1:32">
      <c r="A36" s="38" t="s">
        <v>47</v>
      </c>
      <c r="B36" s="36" t="s">
        <v>42</v>
      </c>
      <c r="C36" s="40">
        <v>49888.4686</v>
      </c>
      <c r="D36" s="40">
        <v>1.1999999999999999E-3</v>
      </c>
      <c r="E36" s="35">
        <f t="shared" si="0"/>
        <v>19357.940914436407</v>
      </c>
      <c r="F36" s="35">
        <f t="shared" si="1"/>
        <v>19358</v>
      </c>
      <c r="G36" s="35">
        <f t="shared" si="6"/>
        <v>-3.3159999999043066E-2</v>
      </c>
      <c r="H36" s="35"/>
      <c r="I36" s="35">
        <f t="shared" si="7"/>
        <v>-3.3159999999043066E-2</v>
      </c>
      <c r="K36" s="35"/>
      <c r="L36" s="35"/>
      <c r="M36" s="35"/>
      <c r="N36" s="35"/>
      <c r="O36" s="35">
        <f t="shared" ca="1" si="2"/>
        <v>-3.1755239609594269E-2</v>
      </c>
      <c r="P36" s="35"/>
      <c r="Q36" s="37">
        <f t="shared" si="3"/>
        <v>34869.9686</v>
      </c>
      <c r="R36" s="37"/>
      <c r="S36" s="35">
        <f t="shared" ca="1" si="8"/>
        <v>1.9733517517643376E-6</v>
      </c>
      <c r="T36" s="35"/>
      <c r="U36" s="35"/>
      <c r="V36" s="35"/>
      <c r="W36" s="35"/>
      <c r="AB36" s="6">
        <v>17</v>
      </c>
      <c r="AD36" t="s">
        <v>40</v>
      </c>
      <c r="AF36" t="s">
        <v>33</v>
      </c>
    </row>
    <row r="37" spans="1:32">
      <c r="A37" s="43" t="s">
        <v>47</v>
      </c>
      <c r="B37" s="45"/>
      <c r="C37" s="41">
        <v>49895.483200000002</v>
      </c>
      <c r="D37" s="41">
        <v>1.6999999999999999E-3</v>
      </c>
      <c r="E37" s="35">
        <f t="shared" si="0"/>
        <v>19370.439756245327</v>
      </c>
      <c r="F37" s="35">
        <f t="shared" si="1"/>
        <v>19370.5</v>
      </c>
      <c r="G37" s="35">
        <f t="shared" si="6"/>
        <v>-3.3809999993536621E-2</v>
      </c>
      <c r="H37" s="35"/>
      <c r="I37" s="35">
        <f t="shared" si="7"/>
        <v>-3.3809999993536621E-2</v>
      </c>
      <c r="K37" s="35"/>
      <c r="L37" s="35"/>
      <c r="M37" s="35"/>
      <c r="N37" s="35"/>
      <c r="O37" s="35">
        <f t="shared" ca="1" si="2"/>
        <v>-3.1771558984541821E-2</v>
      </c>
      <c r="P37" s="35"/>
      <c r="Q37" s="37">
        <f t="shared" si="3"/>
        <v>34876.983200000002</v>
      </c>
      <c r="R37" s="37"/>
      <c r="S37" s="35">
        <f t="shared" ca="1" si="8"/>
        <v>4.1552417471517379E-6</v>
      </c>
      <c r="T37" s="35"/>
      <c r="U37" s="35"/>
      <c r="V37" s="35"/>
      <c r="W37" s="35"/>
    </row>
    <row r="38" spans="1:32">
      <c r="A38" s="43" t="s">
        <v>47</v>
      </c>
      <c r="B38" s="44" t="s">
        <v>42</v>
      </c>
      <c r="C38" s="41">
        <v>49897.446100000001</v>
      </c>
      <c r="D38" s="41">
        <v>1.1000000000000001E-3</v>
      </c>
      <c r="E38" s="35">
        <f t="shared" si="0"/>
        <v>19373.937315134888</v>
      </c>
      <c r="F38" s="35">
        <f t="shared" si="1"/>
        <v>19374</v>
      </c>
      <c r="G38" s="35">
        <f t="shared" si="6"/>
        <v>-3.5179999998945277E-2</v>
      </c>
      <c r="H38" s="35"/>
      <c r="I38" s="35">
        <f t="shared" si="7"/>
        <v>-3.5179999998945277E-2</v>
      </c>
      <c r="K38" s="35"/>
      <c r="L38" s="35"/>
      <c r="M38" s="35"/>
      <c r="N38" s="35"/>
      <c r="O38" s="35">
        <f t="shared" ca="1" si="2"/>
        <v>-3.1776128409527135E-2</v>
      </c>
      <c r="P38" s="35"/>
      <c r="Q38" s="37">
        <f t="shared" si="3"/>
        <v>34878.946100000001</v>
      </c>
      <c r="R38" s="37"/>
      <c r="S38" s="35">
        <f t="shared" ca="1" si="8"/>
        <v>1.1586341797247989E-5</v>
      </c>
      <c r="T38" s="35"/>
      <c r="U38" s="35"/>
      <c r="V38" s="35"/>
      <c r="W38" s="35"/>
    </row>
    <row r="39" spans="1:32">
      <c r="A39" s="43" t="s">
        <v>47</v>
      </c>
      <c r="B39" s="44" t="s">
        <v>42</v>
      </c>
      <c r="C39" s="41">
        <v>49898.570899999999</v>
      </c>
      <c r="D39" s="41">
        <v>1.2999999999999999E-3</v>
      </c>
      <c r="E39" s="35">
        <f t="shared" si="0"/>
        <v>19375.941520259432</v>
      </c>
      <c r="F39" s="35">
        <f t="shared" si="1"/>
        <v>19376</v>
      </c>
      <c r="G39" s="35">
        <f t="shared" si="6"/>
        <v>-3.2820000000356231E-2</v>
      </c>
      <c r="H39" s="35"/>
      <c r="I39" s="35">
        <f t="shared" si="7"/>
        <v>-3.2820000000356231E-2</v>
      </c>
      <c r="K39" s="35"/>
      <c r="L39" s="35"/>
      <c r="M39" s="35"/>
      <c r="N39" s="35"/>
      <c r="O39" s="35">
        <f t="shared" ca="1" si="2"/>
        <v>-3.1778739509518747E-2</v>
      </c>
      <c r="P39" s="35"/>
      <c r="Q39" s="37">
        <f t="shared" si="3"/>
        <v>34880.070899999999</v>
      </c>
      <c r="R39" s="37"/>
      <c r="S39" s="35">
        <f t="shared" ca="1" si="8"/>
        <v>1.0842234097791181E-6</v>
      </c>
      <c r="T39" s="35"/>
      <c r="U39" s="35"/>
      <c r="V39" s="35"/>
      <c r="W39" s="35"/>
    </row>
    <row r="40" spans="1:32">
      <c r="A40" s="19" t="s">
        <v>39</v>
      </c>
      <c r="B40" s="44"/>
      <c r="C40" s="41">
        <v>49933.370999999999</v>
      </c>
      <c r="D40" s="41">
        <v>3.0000000000000001E-3</v>
      </c>
      <c r="E40" s="35">
        <f t="shared" si="0"/>
        <v>19437.949467232102</v>
      </c>
      <c r="F40" s="35">
        <f t="shared" si="1"/>
        <v>19438</v>
      </c>
      <c r="G40" s="35">
        <f t="shared" si="6"/>
        <v>-2.8359999996609986E-2</v>
      </c>
      <c r="H40" s="35"/>
      <c r="I40" s="35">
        <f t="shared" si="7"/>
        <v>-2.8359999996609986E-2</v>
      </c>
      <c r="J40" s="35"/>
      <c r="K40" s="35"/>
      <c r="L40" s="35"/>
      <c r="M40" s="35"/>
      <c r="N40" s="35"/>
      <c r="O40" s="35">
        <f t="shared" ca="1" si="2"/>
        <v>-3.1859683609258609E-2</v>
      </c>
      <c r="P40" s="35"/>
      <c r="Q40" s="37">
        <f t="shared" si="3"/>
        <v>34914.870999999999</v>
      </c>
      <c r="R40" s="37"/>
      <c r="S40" s="35">
        <f t="shared" ca="1" si="8"/>
        <v>1.2247785388641316E-5</v>
      </c>
      <c r="T40" s="35"/>
      <c r="U40" s="35"/>
      <c r="V40" s="35"/>
      <c r="W40" s="35"/>
    </row>
    <row r="41" spans="1:32">
      <c r="A41" s="43" t="s">
        <v>47</v>
      </c>
      <c r="B41" s="44" t="s">
        <v>42</v>
      </c>
      <c r="C41" s="41">
        <v>49952.447899999999</v>
      </c>
      <c r="D41" s="41">
        <v>1.2999999999999999E-3</v>
      </c>
      <c r="E41" s="35">
        <f t="shared" si="0"/>
        <v>19471.941306439541</v>
      </c>
      <c r="F41" s="35">
        <f t="shared" si="1"/>
        <v>19472</v>
      </c>
      <c r="G41" s="35">
        <f t="shared" si="6"/>
        <v>-3.2940000004600734E-2</v>
      </c>
      <c r="H41" s="35"/>
      <c r="I41" s="35">
        <f t="shared" si="7"/>
        <v>-3.2940000004600734E-2</v>
      </c>
      <c r="K41" s="35"/>
      <c r="L41" s="35"/>
      <c r="M41" s="35"/>
      <c r="N41" s="35"/>
      <c r="O41" s="35">
        <f t="shared" ca="1" si="2"/>
        <v>-3.1904072309115947E-2</v>
      </c>
      <c r="P41" s="35"/>
      <c r="Q41" s="37">
        <f t="shared" si="3"/>
        <v>34933.947899999999</v>
      </c>
      <c r="R41" s="37"/>
      <c r="S41" s="35">
        <f t="shared" ca="1" si="8"/>
        <v>1.0731461902724212E-6</v>
      </c>
      <c r="T41" s="35"/>
      <c r="U41" s="35"/>
      <c r="V41" s="35"/>
      <c r="W41" s="35"/>
    </row>
    <row r="42" spans="1:32">
      <c r="A42" s="43" t="s">
        <v>47</v>
      </c>
      <c r="B42" s="44" t="s">
        <v>42</v>
      </c>
      <c r="C42" s="41">
        <v>49997.348299999998</v>
      </c>
      <c r="D42" s="41">
        <v>1.2999999999999999E-3</v>
      </c>
      <c r="E42" s="35">
        <f t="shared" si="0"/>
        <v>19551.94629557036</v>
      </c>
      <c r="F42" s="35">
        <f t="shared" si="1"/>
        <v>19552</v>
      </c>
      <c r="G42" s="35">
        <f t="shared" si="6"/>
        <v>-3.0140000002575107E-2</v>
      </c>
      <c r="H42" s="35"/>
      <c r="I42" s="35">
        <f t="shared" si="7"/>
        <v>-3.0140000002575107E-2</v>
      </c>
      <c r="K42" s="35"/>
      <c r="L42" s="35"/>
      <c r="M42" s="35"/>
      <c r="N42" s="35"/>
      <c r="O42" s="35">
        <f t="shared" ca="1" si="2"/>
        <v>-3.2008516308780287E-2</v>
      </c>
      <c r="P42" s="35"/>
      <c r="Q42" s="37">
        <f t="shared" si="3"/>
        <v>34978.848299999998</v>
      </c>
      <c r="R42" s="37"/>
      <c r="S42" s="35">
        <f t="shared" ca="1" si="8"/>
        <v>3.4913531865546494E-6</v>
      </c>
      <c r="T42" s="35"/>
      <c r="U42" s="35"/>
      <c r="V42" s="35"/>
      <c r="W42" s="35"/>
    </row>
    <row r="43" spans="1:32">
      <c r="A43" s="43" t="s">
        <v>47</v>
      </c>
      <c r="B43" s="44" t="s">
        <v>42</v>
      </c>
      <c r="C43" s="41">
        <v>50667.440799999997</v>
      </c>
      <c r="D43" s="41">
        <v>1.4E-3</v>
      </c>
      <c r="E43" s="19">
        <f t="shared" si="0"/>
        <v>20745.938847510773</v>
      </c>
      <c r="F43" s="35">
        <f t="shared" si="1"/>
        <v>20746</v>
      </c>
      <c r="G43" s="35">
        <f t="shared" si="6"/>
        <v>-3.4320000006118789E-2</v>
      </c>
      <c r="H43" s="35"/>
      <c r="I43" s="35">
        <f t="shared" si="7"/>
        <v>-3.4320000006118789E-2</v>
      </c>
      <c r="K43" s="35"/>
      <c r="L43" s="35"/>
      <c r="M43" s="35"/>
      <c r="N43" s="35"/>
      <c r="O43" s="35">
        <f t="shared" ca="1" si="2"/>
        <v>-3.3567343003770525E-2</v>
      </c>
      <c r="P43" s="35"/>
      <c r="Q43" s="37">
        <f t="shared" si="3"/>
        <v>35648.940799999997</v>
      </c>
      <c r="R43" s="37"/>
      <c r="S43" s="35">
        <f t="shared" ca="1" si="8"/>
        <v>5.664925631838751E-7</v>
      </c>
      <c r="T43" s="35"/>
      <c r="U43" s="35"/>
      <c r="V43" s="35"/>
      <c r="W43" s="35"/>
    </row>
    <row r="44" spans="1:32">
      <c r="A44" s="19" t="s">
        <v>41</v>
      </c>
      <c r="B44" s="44" t="s">
        <v>42</v>
      </c>
      <c r="C44" s="41">
        <v>50719.356899999999</v>
      </c>
      <c r="D44" s="41">
        <v>5.9999999999999995E-4</v>
      </c>
      <c r="E44" s="19">
        <f t="shared" si="0"/>
        <v>20838.444638466197</v>
      </c>
      <c r="F44" s="35">
        <f t="shared" si="1"/>
        <v>20838.5</v>
      </c>
      <c r="G44" s="35">
        <f t="shared" si="6"/>
        <v>-3.1069999997271225E-2</v>
      </c>
      <c r="H44" s="35"/>
      <c r="J44" s="35">
        <f>G44</f>
        <v>-3.1069999997271225E-2</v>
      </c>
      <c r="K44" s="35"/>
      <c r="L44" s="35"/>
      <c r="M44" s="35"/>
      <c r="N44" s="35"/>
      <c r="O44" s="35">
        <f t="shared" ca="1" si="2"/>
        <v>-3.3688106378382411E-2</v>
      </c>
      <c r="P44" s="35"/>
      <c r="Q44" s="37">
        <f t="shared" si="3"/>
        <v>35700.856899999999</v>
      </c>
      <c r="R44" s="37"/>
      <c r="S44" s="35">
        <f t="shared" ca="1" si="8"/>
        <v>6.8544810228151118E-6</v>
      </c>
      <c r="T44" s="35"/>
      <c r="U44" s="35"/>
      <c r="V44" s="35"/>
      <c r="W44" s="35"/>
    </row>
    <row r="45" spans="1:32">
      <c r="A45" s="43" t="s">
        <v>47</v>
      </c>
      <c r="B45" s="45"/>
      <c r="C45" s="41">
        <v>51432.380400000002</v>
      </c>
      <c r="D45" s="41">
        <v>5.0000000000000001E-4</v>
      </c>
      <c r="E45" s="19">
        <f t="shared" si="0"/>
        <v>22108.933038737039</v>
      </c>
      <c r="F45" s="35">
        <f t="shared" si="1"/>
        <v>22109</v>
      </c>
      <c r="G45" s="35">
        <f t="shared" si="6"/>
        <v>-3.7579999996523838E-2</v>
      </c>
      <c r="H45" s="35"/>
      <c r="I45" s="35">
        <f>G45</f>
        <v>-3.7579999996523838E-2</v>
      </c>
      <c r="K45" s="35"/>
      <c r="L45" s="35"/>
      <c r="M45" s="35"/>
      <c r="N45" s="35"/>
      <c r="O45" s="35">
        <f t="shared" ca="1" si="2"/>
        <v>-3.5346807648051669E-2</v>
      </c>
      <c r="P45" s="35"/>
      <c r="Q45" s="37">
        <f t="shared" si="3"/>
        <v>36413.880400000002</v>
      </c>
      <c r="R45" s="37"/>
      <c r="S45" s="35">
        <f t="shared" ca="1" si="8"/>
        <v>4.9871480652746448E-6</v>
      </c>
      <c r="T45" s="35"/>
      <c r="U45" s="35"/>
      <c r="V45" s="35"/>
      <c r="W45" s="35"/>
    </row>
    <row r="46" spans="1:32">
      <c r="A46" s="46" t="s">
        <v>55</v>
      </c>
      <c r="B46" s="47" t="s">
        <v>42</v>
      </c>
      <c r="C46" s="46">
        <v>52054.500699999997</v>
      </c>
      <c r="D46" s="46" t="s">
        <v>56</v>
      </c>
      <c r="E46" s="19">
        <f t="shared" si="0"/>
        <v>23217.447168668252</v>
      </c>
      <c r="F46" s="35">
        <f t="shared" si="1"/>
        <v>23217.5</v>
      </c>
      <c r="G46" s="35">
        <f t="shared" si="6"/>
        <v>-2.9650000004039612E-2</v>
      </c>
      <c r="H46" s="35"/>
      <c r="I46" s="35"/>
      <c r="K46" s="35">
        <f>G46</f>
        <v>-2.9650000004039612E-2</v>
      </c>
      <c r="L46" s="35"/>
      <c r="M46" s="35"/>
      <c r="O46" s="35">
        <f t="shared" ca="1" si="2"/>
        <v>-3.6794009818400641E-2</v>
      </c>
      <c r="P46" s="35"/>
      <c r="Q46" s="37">
        <f t="shared" si="3"/>
        <v>37036.000699999997</v>
      </c>
      <c r="R46" s="37"/>
      <c r="S46" s="35">
        <f t="shared" ca="1" si="8"/>
        <v>5.1036876227686712E-5</v>
      </c>
      <c r="T46" s="35"/>
      <c r="U46" s="35"/>
      <c r="V46" s="35"/>
      <c r="W46" s="35"/>
    </row>
    <row r="47" spans="1:32">
      <c r="A47" s="42" t="s">
        <v>181</v>
      </c>
      <c r="B47" s="36" t="s">
        <v>64</v>
      </c>
      <c r="C47" s="40">
        <v>52093.495799999997</v>
      </c>
      <c r="D47" s="40" t="s">
        <v>76</v>
      </c>
      <c r="E47" s="19">
        <f t="shared" si="0"/>
        <v>23286.929902711945</v>
      </c>
      <c r="F47" s="35">
        <f t="shared" si="1"/>
        <v>23287</v>
      </c>
      <c r="G47" s="35">
        <f t="shared" si="6"/>
        <v>-3.9340000002994202E-2</v>
      </c>
      <c r="H47" s="35"/>
      <c r="I47" s="35"/>
      <c r="J47" s="35">
        <f>G47</f>
        <v>-3.9340000002994202E-2</v>
      </c>
      <c r="K47" s="35"/>
      <c r="L47" s="35"/>
      <c r="M47" s="35"/>
      <c r="N47" s="35"/>
      <c r="O47" s="35">
        <f t="shared" ca="1" si="2"/>
        <v>-3.688474554310904E-2</v>
      </c>
      <c r="P47" s="35"/>
      <c r="Q47" s="37">
        <f t="shared" si="3"/>
        <v>37074.995799999997</v>
      </c>
      <c r="R47" s="37"/>
      <c r="S47" s="35">
        <f t="shared" ca="1" si="8"/>
        <v>6.0282744627859765E-6</v>
      </c>
      <c r="T47" s="35"/>
      <c r="U47" s="35"/>
      <c r="V47" s="35"/>
      <c r="W47" s="35"/>
    </row>
    <row r="48" spans="1:32">
      <c r="A48" s="46" t="s">
        <v>55</v>
      </c>
      <c r="B48" s="47" t="s">
        <v>42</v>
      </c>
      <c r="C48" s="46">
        <v>52118.476880000002</v>
      </c>
      <c r="D48" s="46">
        <v>3.2000000000000002E-3</v>
      </c>
      <c r="E48" s="19">
        <f t="shared" si="0"/>
        <v>23331.442001354197</v>
      </c>
      <c r="F48" s="35">
        <f t="shared" si="1"/>
        <v>23331.5</v>
      </c>
      <c r="G48" s="35">
        <f t="shared" si="6"/>
        <v>-3.2549999996263068E-2</v>
      </c>
      <c r="H48" s="35"/>
      <c r="I48" s="35"/>
      <c r="K48" s="35">
        <f>G48</f>
        <v>-3.2549999996263068E-2</v>
      </c>
      <c r="L48" s="35"/>
      <c r="M48" s="35"/>
      <c r="O48" s="35">
        <f t="shared" ca="1" si="2"/>
        <v>-3.694284251792232E-2</v>
      </c>
      <c r="P48" s="35"/>
      <c r="Q48" s="37">
        <f t="shared" si="3"/>
        <v>37099.976880000002</v>
      </c>
      <c r="R48" s="37"/>
      <c r="S48" s="35">
        <f t="shared" ca="1" si="8"/>
        <v>1.9297065420097611E-5</v>
      </c>
      <c r="T48" s="35"/>
      <c r="U48" s="35"/>
      <c r="V48" s="35"/>
      <c r="W48" s="35"/>
    </row>
    <row r="49" spans="1:23">
      <c r="A49" s="48" t="s">
        <v>48</v>
      </c>
      <c r="B49" s="44"/>
      <c r="C49" s="41">
        <v>52383.087</v>
      </c>
      <c r="D49" s="41"/>
      <c r="E49" s="19">
        <f t="shared" si="0"/>
        <v>23802.932896190443</v>
      </c>
      <c r="F49" s="35">
        <f t="shared" si="1"/>
        <v>23803</v>
      </c>
      <c r="G49" s="35">
        <f t="shared" si="6"/>
        <v>-3.7660000001778826E-2</v>
      </c>
      <c r="H49" s="35"/>
      <c r="I49" s="35">
        <f t="shared" ref="I49:I54" si="9">G49</f>
        <v>-3.7660000001778826E-2</v>
      </c>
      <c r="K49" s="35"/>
      <c r="L49" s="35"/>
      <c r="M49" s="35"/>
      <c r="N49" s="35"/>
      <c r="O49" s="35">
        <f t="shared" ca="1" si="2"/>
        <v>-3.755840934094401E-2</v>
      </c>
      <c r="P49" s="35"/>
      <c r="Q49" s="37">
        <f t="shared" si="3"/>
        <v>37364.587</v>
      </c>
      <c r="R49" s="37"/>
      <c r="S49" s="35">
        <f t="shared" ca="1" si="8"/>
        <v>1.0320662368854627E-8</v>
      </c>
      <c r="T49" s="35"/>
      <c r="U49" s="35"/>
      <c r="V49" s="35"/>
      <c r="W49" s="35"/>
    </row>
    <row r="50" spans="1:23">
      <c r="A50" s="56" t="s">
        <v>63</v>
      </c>
      <c r="B50" s="45" t="s">
        <v>64</v>
      </c>
      <c r="C50" s="41">
        <v>55352.494400000003</v>
      </c>
      <c r="D50" s="57">
        <v>1E-4</v>
      </c>
      <c r="E50" s="19">
        <f t="shared" si="0"/>
        <v>29093.919318627282</v>
      </c>
      <c r="F50" s="35">
        <f t="shared" si="1"/>
        <v>29094</v>
      </c>
      <c r="G50" s="35">
        <f t="shared" si="6"/>
        <v>-4.5279999998456333E-2</v>
      </c>
      <c r="H50" s="35"/>
      <c r="I50" s="35">
        <f t="shared" si="9"/>
        <v>-4.5279999998456333E-2</v>
      </c>
      <c r="K50" s="35"/>
      <c r="L50" s="35"/>
      <c r="M50" s="35"/>
      <c r="N50" s="35"/>
      <c r="O50" s="35">
        <f t="shared" ca="1" si="2"/>
        <v>-4.446607436874412E-2</v>
      </c>
      <c r="P50" s="35"/>
      <c r="Q50" s="37">
        <f t="shared" si="3"/>
        <v>40333.994400000003</v>
      </c>
      <c r="R50" s="37"/>
      <c r="S50" s="35">
        <f t="shared" ca="1" si="8"/>
        <v>6.6247493070242242E-7</v>
      </c>
      <c r="T50" s="35"/>
      <c r="U50" s="35"/>
      <c r="V50" s="35"/>
      <c r="W50" s="35"/>
    </row>
    <row r="51" spans="1:23">
      <c r="A51" s="54" t="s">
        <v>65</v>
      </c>
      <c r="B51" s="54"/>
      <c r="C51" s="52">
        <v>55418.442199999998</v>
      </c>
      <c r="D51" s="52">
        <v>4.0000000000000001E-3</v>
      </c>
      <c r="E51" s="19">
        <f t="shared" si="0"/>
        <v>29211.427247781612</v>
      </c>
      <c r="F51" s="35">
        <f t="shared" si="1"/>
        <v>29211.5</v>
      </c>
      <c r="G51" s="35">
        <f t="shared" si="6"/>
        <v>-4.0830000005371403E-2</v>
      </c>
      <c r="H51" s="35"/>
      <c r="I51" s="35">
        <f t="shared" si="9"/>
        <v>-4.0830000005371403E-2</v>
      </c>
      <c r="K51" s="35"/>
      <c r="L51" s="35"/>
      <c r="M51" s="35"/>
      <c r="N51" s="35"/>
      <c r="O51" s="35">
        <f t="shared" ca="1" si="2"/>
        <v>-4.4619476493251119E-2</v>
      </c>
      <c r="P51" s="35"/>
      <c r="Q51" s="37">
        <f t="shared" si="3"/>
        <v>40399.942199999998</v>
      </c>
      <c r="R51" s="37"/>
      <c r="S51" s="35">
        <f t="shared" ca="1" si="8"/>
        <v>1.4360132052193185E-5</v>
      </c>
      <c r="T51" s="35"/>
      <c r="U51" s="35"/>
      <c r="V51" s="35"/>
      <c r="W51" s="35"/>
    </row>
    <row r="52" spans="1:23">
      <c r="A52" s="49" t="s">
        <v>59</v>
      </c>
      <c r="B52" s="50" t="s">
        <v>42</v>
      </c>
      <c r="C52" s="49">
        <v>55705.501100000001</v>
      </c>
      <c r="D52" s="49">
        <v>2.0000000000000001E-4</v>
      </c>
      <c r="E52" s="19">
        <f t="shared" si="0"/>
        <v>29722.918106981222</v>
      </c>
      <c r="F52" s="35">
        <f t="shared" si="1"/>
        <v>29723</v>
      </c>
      <c r="G52" s="35">
        <f t="shared" si="6"/>
        <v>-4.5959999995830003E-2</v>
      </c>
      <c r="H52" s="35"/>
      <c r="I52" s="35">
        <f t="shared" si="9"/>
        <v>-4.5959999995830003E-2</v>
      </c>
      <c r="K52" s="35"/>
      <c r="L52" s="35"/>
      <c r="M52" s="35"/>
      <c r="N52" s="35"/>
      <c r="O52" s="35">
        <f t="shared" ca="1" si="2"/>
        <v>-4.5287265316104969E-2</v>
      </c>
      <c r="P52" s="35"/>
      <c r="Q52" s="37">
        <f t="shared" si="3"/>
        <v>40687.001100000001</v>
      </c>
      <c r="R52" s="37"/>
      <c r="S52" s="35">
        <f t="shared" ca="1" si="8"/>
        <v>4.5257194930474462E-7</v>
      </c>
      <c r="T52" s="35"/>
      <c r="U52" s="35"/>
      <c r="V52" s="35"/>
      <c r="W52" s="35"/>
    </row>
    <row r="53" spans="1:23">
      <c r="A53" s="41" t="s">
        <v>60</v>
      </c>
      <c r="B53" s="44" t="s">
        <v>64</v>
      </c>
      <c r="C53" s="41">
        <v>56489.521699999998</v>
      </c>
      <c r="D53" s="41">
        <v>8.9999999999999998E-4</v>
      </c>
      <c r="E53" s="19">
        <f t="shared" si="0"/>
        <v>31119.911442927903</v>
      </c>
      <c r="F53" s="35">
        <f t="shared" si="1"/>
        <v>31120</v>
      </c>
      <c r="G53" s="35">
        <f t="shared" si="6"/>
        <v>-4.9700000003213063E-2</v>
      </c>
      <c r="H53" s="35"/>
      <c r="I53" s="35">
        <f t="shared" si="9"/>
        <v>-4.9700000003213063E-2</v>
      </c>
      <c r="K53" s="35"/>
      <c r="L53" s="35"/>
      <c r="M53" s="35"/>
      <c r="N53" s="35"/>
      <c r="O53" s="35">
        <f t="shared" ca="1" si="2"/>
        <v>-4.7111118660243465E-2</v>
      </c>
      <c r="P53" s="35"/>
      <c r="Q53" s="37">
        <f t="shared" si="3"/>
        <v>41471.021699999998</v>
      </c>
      <c r="R53" s="37"/>
      <c r="S53" s="35">
        <f t="shared" ca="1" si="8"/>
        <v>6.7023066079760709E-6</v>
      </c>
      <c r="T53" s="35"/>
      <c r="U53" s="35"/>
      <c r="V53" s="35"/>
      <c r="W53" s="35"/>
    </row>
    <row r="54" spans="1:23">
      <c r="A54" s="53" t="s">
        <v>66</v>
      </c>
      <c r="B54" s="55"/>
      <c r="C54" s="53">
        <v>56814.467700000001</v>
      </c>
      <c r="D54" s="53">
        <v>1E-4</v>
      </c>
      <c r="E54" s="19">
        <f t="shared" si="0"/>
        <v>31698.910765831581</v>
      </c>
      <c r="F54" s="35">
        <f t="shared" si="1"/>
        <v>31699</v>
      </c>
      <c r="G54" s="35">
        <f t="shared" si="6"/>
        <v>-5.0080000000889413E-2</v>
      </c>
      <c r="H54" s="35"/>
      <c r="I54" s="35">
        <f t="shared" si="9"/>
        <v>-5.0080000000889413E-2</v>
      </c>
      <c r="K54" s="35"/>
      <c r="L54" s="35"/>
      <c r="M54" s="35"/>
      <c r="N54" s="35"/>
      <c r="O54" s="35">
        <f t="shared" ca="1" si="2"/>
        <v>-4.7867032107814102E-2</v>
      </c>
      <c r="P54" s="35"/>
      <c r="Q54" s="37">
        <f t="shared" si="3"/>
        <v>41795.967700000001</v>
      </c>
      <c r="R54" s="37"/>
      <c r="S54" s="35">
        <f t="shared" ca="1" si="8"/>
        <v>4.8972268957821826E-6</v>
      </c>
      <c r="T54" s="35"/>
      <c r="U54" s="35"/>
      <c r="V54" s="35"/>
      <c r="W54" s="35"/>
    </row>
    <row r="55" spans="1:23">
      <c r="A55" s="35"/>
      <c r="B55" s="35"/>
      <c r="C55" s="40"/>
      <c r="D55" s="40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3">
      <c r="A56" s="35"/>
      <c r="B56" s="35"/>
      <c r="C56" s="40"/>
      <c r="D56" s="40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>
      <c r="A57" s="35"/>
      <c r="B57" s="35"/>
      <c r="C57" s="40"/>
      <c r="D57" s="40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</row>
    <row r="58" spans="1:23">
      <c r="A58" s="35"/>
      <c r="B58" s="35"/>
      <c r="C58" s="40"/>
      <c r="D58" s="40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</row>
    <row r="59" spans="1:23">
      <c r="A59" s="35"/>
      <c r="B59" s="35"/>
      <c r="C59" s="40"/>
      <c r="D59" s="40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</row>
    <row r="60" spans="1:23">
      <c r="A60" s="35"/>
      <c r="B60" s="35"/>
      <c r="C60" s="40"/>
      <c r="D60" s="40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</row>
    <row r="61" spans="1:23">
      <c r="A61" s="35"/>
      <c r="B61" s="35"/>
      <c r="C61" s="40"/>
      <c r="D61" s="40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</row>
    <row r="62" spans="1:23">
      <c r="A62" s="35"/>
      <c r="B62" s="35"/>
      <c r="C62" s="40"/>
      <c r="D62" s="40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</row>
    <row r="63" spans="1:23">
      <c r="A63" s="35"/>
      <c r="B63" s="35"/>
      <c r="C63" s="40"/>
      <c r="D63" s="40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>
      <c r="A64" s="35"/>
      <c r="B64" s="35"/>
      <c r="C64" s="40"/>
      <c r="D64" s="40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1:23">
      <c r="A65" s="35"/>
      <c r="B65" s="35"/>
      <c r="C65" s="40"/>
      <c r="D65" s="40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1:23">
      <c r="A66" s="35"/>
      <c r="B66" s="35"/>
      <c r="C66" s="40"/>
      <c r="D66" s="40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7" spans="1:23">
      <c r="A67" s="35"/>
      <c r="B67" s="35"/>
      <c r="C67" s="40"/>
      <c r="D67" s="4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1:23">
      <c r="A68" s="35"/>
      <c r="B68" s="35"/>
      <c r="C68" s="40"/>
      <c r="D68" s="40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1:23">
      <c r="A69" s="35"/>
      <c r="B69" s="35"/>
      <c r="C69" s="40"/>
      <c r="D69" s="40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1:23">
      <c r="A70" s="35"/>
      <c r="B70" s="35"/>
      <c r="C70" s="40"/>
      <c r="D70" s="40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1:23">
      <c r="A71" s="35"/>
      <c r="B71" s="35"/>
      <c r="C71" s="40"/>
      <c r="D71" s="4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1:23">
      <c r="A72" s="35"/>
      <c r="B72" s="35"/>
      <c r="C72" s="40"/>
      <c r="D72" s="40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3" spans="1:23">
      <c r="A73" s="35"/>
      <c r="B73" s="35"/>
      <c r="C73" s="40"/>
      <c r="D73" s="40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</row>
    <row r="74" spans="1:23">
      <c r="A74" s="35"/>
      <c r="B74" s="35"/>
      <c r="C74" s="40"/>
      <c r="D74" s="40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</row>
    <row r="75" spans="1:23">
      <c r="A75" s="35"/>
      <c r="B75" s="35"/>
      <c r="C75" s="40"/>
      <c r="D75" s="40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</row>
    <row r="76" spans="1:23">
      <c r="A76" s="35"/>
      <c r="B76" s="35"/>
      <c r="C76" s="40"/>
      <c r="D76" s="40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</row>
    <row r="77" spans="1:23">
      <c r="A77" s="35"/>
      <c r="B77" s="35"/>
      <c r="C77" s="40"/>
      <c r="D77" s="40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</row>
    <row r="78" spans="1:23">
      <c r="A78" s="35"/>
      <c r="B78" s="35"/>
      <c r="C78" s="40"/>
      <c r="D78" s="40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</row>
    <row r="79" spans="1:23">
      <c r="A79" s="35"/>
      <c r="B79" s="35"/>
      <c r="C79" s="40"/>
      <c r="D79" s="40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</row>
    <row r="80" spans="1:23">
      <c r="A80" s="35"/>
      <c r="B80" s="35"/>
      <c r="C80" s="40"/>
      <c r="D80" s="40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</row>
    <row r="81" spans="1:23">
      <c r="A81" s="35"/>
      <c r="B81" s="35"/>
      <c r="C81" s="40"/>
      <c r="D81" s="40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</row>
    <row r="82" spans="1:23">
      <c r="A82" s="35"/>
      <c r="B82" s="35"/>
      <c r="C82" s="40"/>
      <c r="D82" s="40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</row>
    <row r="83" spans="1:23">
      <c r="A83" s="35"/>
      <c r="B83" s="35"/>
      <c r="C83" s="40"/>
      <c r="D83" s="40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</row>
    <row r="84" spans="1:23">
      <c r="A84" s="35"/>
      <c r="B84" s="35"/>
      <c r="C84" s="40"/>
      <c r="D84" s="40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</row>
    <row r="85" spans="1:23">
      <c r="A85" s="35"/>
      <c r="B85" s="35"/>
      <c r="C85" s="40"/>
      <c r="D85" s="40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</row>
    <row r="86" spans="1:23">
      <c r="A86" s="35"/>
      <c r="B86" s="35"/>
      <c r="C86" s="40"/>
      <c r="D86" s="40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</row>
    <row r="87" spans="1:23">
      <c r="A87" s="35"/>
      <c r="B87" s="35"/>
      <c r="C87" s="40"/>
      <c r="D87" s="40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</row>
    <row r="88" spans="1:23">
      <c r="A88" s="35"/>
      <c r="B88" s="35"/>
      <c r="C88" s="40"/>
      <c r="D88" s="40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</row>
    <row r="89" spans="1:23">
      <c r="A89" s="35"/>
      <c r="B89" s="35"/>
      <c r="C89" s="40"/>
      <c r="D89" s="40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</row>
    <row r="90" spans="1:23">
      <c r="A90" s="35"/>
      <c r="B90" s="35"/>
      <c r="C90" s="40"/>
      <c r="D90" s="40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</row>
    <row r="91" spans="1:23">
      <c r="A91" s="35"/>
      <c r="B91" s="35"/>
      <c r="C91" s="40"/>
      <c r="D91" s="40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</row>
    <row r="92" spans="1:23">
      <c r="A92" s="35"/>
      <c r="B92" s="35"/>
      <c r="C92" s="40"/>
      <c r="D92" s="40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</row>
    <row r="93" spans="1:23">
      <c r="A93" s="35"/>
      <c r="B93" s="35"/>
      <c r="C93" s="40"/>
      <c r="D93" s="40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</row>
    <row r="94" spans="1:23">
      <c r="A94" s="35"/>
      <c r="B94" s="35"/>
      <c r="C94" s="40"/>
      <c r="D94" s="40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</row>
    <row r="95" spans="1:23">
      <c r="A95" s="35"/>
      <c r="B95" s="35"/>
      <c r="C95" s="40"/>
      <c r="D95" s="40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</row>
    <row r="96" spans="1:23">
      <c r="A96" s="35"/>
      <c r="B96" s="35"/>
      <c r="C96" s="40"/>
      <c r="D96" s="40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</row>
    <row r="97" spans="1:23">
      <c r="A97" s="35"/>
      <c r="B97" s="35"/>
      <c r="C97" s="40"/>
      <c r="D97" s="40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</row>
    <row r="98" spans="1:23">
      <c r="A98" s="35"/>
      <c r="B98" s="35"/>
      <c r="C98" s="40"/>
      <c r="D98" s="40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</row>
    <row r="99" spans="1:23">
      <c r="A99" s="35"/>
      <c r="B99" s="35"/>
      <c r="C99" s="40"/>
      <c r="D99" s="40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</row>
    <row r="100" spans="1:23">
      <c r="A100" s="35"/>
      <c r="B100" s="35"/>
      <c r="C100" s="40"/>
      <c r="D100" s="40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</row>
    <row r="101" spans="1:23">
      <c r="A101" s="35"/>
      <c r="B101" s="35"/>
      <c r="C101" s="40"/>
      <c r="D101" s="40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</row>
    <row r="102" spans="1:23">
      <c r="A102" s="35"/>
      <c r="B102" s="35"/>
      <c r="C102" s="40"/>
      <c r="D102" s="40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</row>
    <row r="103" spans="1:23">
      <c r="A103" s="35"/>
      <c r="B103" s="35"/>
      <c r="C103" s="40"/>
      <c r="D103" s="40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</row>
    <row r="104" spans="1:23">
      <c r="A104" s="35"/>
      <c r="B104" s="35"/>
      <c r="C104" s="40"/>
      <c r="D104" s="40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</row>
    <row r="105" spans="1:23">
      <c r="A105" s="35"/>
      <c r="B105" s="35"/>
      <c r="C105" s="40"/>
      <c r="D105" s="40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</row>
    <row r="106" spans="1:23">
      <c r="A106" s="35"/>
      <c r="B106" s="35"/>
      <c r="C106" s="40"/>
      <c r="D106" s="40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</row>
    <row r="107" spans="1:23">
      <c r="A107" s="35"/>
      <c r="B107" s="35"/>
      <c r="C107" s="40"/>
      <c r="D107" s="40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</row>
    <row r="108" spans="1:23">
      <c r="A108" s="35"/>
      <c r="B108" s="35"/>
      <c r="C108" s="40"/>
      <c r="D108" s="40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</row>
    <row r="109" spans="1:23">
      <c r="A109" s="35"/>
      <c r="B109" s="35"/>
      <c r="C109" s="40"/>
      <c r="D109" s="40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</row>
    <row r="110" spans="1:23">
      <c r="A110" s="35"/>
      <c r="B110" s="35"/>
      <c r="C110" s="40"/>
      <c r="D110" s="40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</row>
    <row r="111" spans="1:23">
      <c r="A111" s="35"/>
      <c r="B111" s="35"/>
      <c r="C111" s="40"/>
      <c r="D111" s="40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</row>
    <row r="112" spans="1:23">
      <c r="A112" s="35"/>
      <c r="B112" s="35"/>
      <c r="C112" s="40"/>
      <c r="D112" s="40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</row>
    <row r="113" spans="1:23">
      <c r="A113" s="35"/>
      <c r="B113" s="35"/>
      <c r="C113" s="40"/>
      <c r="D113" s="40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</row>
    <row r="114" spans="1:23">
      <c r="A114" s="35"/>
      <c r="B114" s="35"/>
      <c r="C114" s="40"/>
      <c r="D114" s="40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</row>
    <row r="115" spans="1:23">
      <c r="A115" s="35"/>
      <c r="B115" s="35"/>
      <c r="C115" s="40"/>
      <c r="D115" s="40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</row>
    <row r="116" spans="1:23">
      <c r="A116" s="35"/>
      <c r="B116" s="35"/>
      <c r="C116" s="40"/>
      <c r="D116" s="40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</row>
    <row r="117" spans="1:23">
      <c r="A117" s="35"/>
      <c r="B117" s="35"/>
      <c r="C117" s="40"/>
      <c r="D117" s="40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</row>
    <row r="118" spans="1:23">
      <c r="A118" s="35"/>
      <c r="B118" s="35"/>
      <c r="C118" s="40"/>
      <c r="D118" s="40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</row>
    <row r="119" spans="1:23">
      <c r="A119" s="35"/>
      <c r="B119" s="35"/>
      <c r="C119" s="40"/>
      <c r="D119" s="40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</row>
    <row r="120" spans="1:2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</row>
    <row r="121" spans="1:2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</row>
    <row r="122" spans="1:2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</row>
    <row r="123" spans="1: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</row>
    <row r="124" spans="1:2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</row>
    <row r="125" spans="1:2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</row>
    <row r="126" spans="1:2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</row>
    <row r="127" spans="1:2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</row>
    <row r="128" spans="1:2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</row>
    <row r="129" spans="1:2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</row>
    <row r="130" spans="1:2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</row>
    <row r="131" spans="1:2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</row>
    <row r="132" spans="1:2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</row>
    <row r="133" spans="1:2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</row>
    <row r="134" spans="1:2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</row>
    <row r="135" spans="1:2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</row>
    <row r="136" spans="1:2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</row>
    <row r="137" spans="1:2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</row>
    <row r="138" spans="1:2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</row>
    <row r="139" spans="1:2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</row>
    <row r="140" spans="1:2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</row>
    <row r="141" spans="1:2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</row>
    <row r="142" spans="1:2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</row>
    <row r="143" spans="1:2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</row>
    <row r="144" spans="1:2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</row>
    <row r="145" spans="1:2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</row>
    <row r="146" spans="1:2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</row>
    <row r="147" spans="1:2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</row>
    <row r="148" spans="1:2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</row>
    <row r="149" spans="1:2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</row>
    <row r="150" spans="1:2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</row>
    <row r="151" spans="1:2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</row>
    <row r="152" spans="1:2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</row>
    <row r="153" spans="1:2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</row>
    <row r="154" spans="1:2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</row>
    <row r="155" spans="1:2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</row>
    <row r="156" spans="1:2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</row>
    <row r="157" spans="1:2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</row>
    <row r="158" spans="1:2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</row>
    <row r="159" spans="1:2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</row>
    <row r="160" spans="1:2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</row>
    <row r="161" spans="1:2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</row>
    <row r="162" spans="1:2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</row>
    <row r="163" spans="1:2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</row>
    <row r="164" spans="1:2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</row>
    <row r="165" spans="1:2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</row>
    <row r="166" spans="1:2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</row>
    <row r="167" spans="1:2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</row>
    <row r="168" spans="1:2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</row>
    <row r="169" spans="1:2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</row>
    <row r="170" spans="1:2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</row>
    <row r="171" spans="1:2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</row>
    <row r="172" spans="1:2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</row>
    <row r="173" spans="1:2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</row>
    <row r="174" spans="1:2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</row>
    <row r="175" spans="1:2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</row>
    <row r="176" spans="1:2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</row>
    <row r="177" spans="1:2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</row>
    <row r="178" spans="1:2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</row>
    <row r="179" spans="1:2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</row>
    <row r="180" spans="1:2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</row>
    <row r="181" spans="1:2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</row>
    <row r="182" spans="1:2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</row>
    <row r="183" spans="1:2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</row>
    <row r="184" spans="1:2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</row>
    <row r="185" spans="1:2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</row>
    <row r="186" spans="1:2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</row>
    <row r="187" spans="1:2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</row>
    <row r="188" spans="1:2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</row>
    <row r="189" spans="1:2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</row>
    <row r="190" spans="1:2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</row>
    <row r="191" spans="1:2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</row>
    <row r="192" spans="1:2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</row>
    <row r="193" spans="1:2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</row>
    <row r="194" spans="1:2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</row>
    <row r="195" spans="1:2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</row>
    <row r="196" spans="1:2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</row>
    <row r="197" spans="1:2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</row>
    <row r="198" spans="1:2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</row>
    <row r="199" spans="1:2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</row>
    <row r="200" spans="1:2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</row>
    <row r="201" spans="1:2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</row>
    <row r="202" spans="1:2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</row>
    <row r="203" spans="1:2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</row>
    <row r="204" spans="1:2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</row>
    <row r="205" spans="1:2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</row>
    <row r="206" spans="1:2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</row>
    <row r="207" spans="1:2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</row>
    <row r="208" spans="1:2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</row>
    <row r="209" spans="1:2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</row>
    <row r="210" spans="1:2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</row>
    <row r="211" spans="1:2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</row>
    <row r="212" spans="1:2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</row>
    <row r="213" spans="1:2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</row>
    <row r="214" spans="1:2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</row>
    <row r="215" spans="1:2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</row>
    <row r="216" spans="1:2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</row>
    <row r="217" spans="1:2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</row>
    <row r="218" spans="1:2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</row>
    <row r="219" spans="1:2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</row>
    <row r="220" spans="1:2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</row>
    <row r="221" spans="1:2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</row>
    <row r="222" spans="1:2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</row>
    <row r="223" spans="1:2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</row>
    <row r="224" spans="1:2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</row>
    <row r="225" spans="1:2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</row>
    <row r="226" spans="1:2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</row>
    <row r="227" spans="1:2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selection activeCell="J41" sqref="J4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44</v>
      </c>
    </row>
    <row r="2" spans="1:4">
      <c r="A2" t="s">
        <v>27</v>
      </c>
      <c r="B2" s="15" t="s">
        <v>46</v>
      </c>
    </row>
    <row r="4" spans="1:4">
      <c r="A4" s="8" t="s">
        <v>0</v>
      </c>
      <c r="C4" s="3">
        <v>39024.404999999999</v>
      </c>
      <c r="D4" s="4">
        <v>0.56140000000000001</v>
      </c>
    </row>
    <row r="6" spans="1:4">
      <c r="A6" s="8" t="s">
        <v>1</v>
      </c>
    </row>
    <row r="7" spans="1:4">
      <c r="A7" t="s">
        <v>2</v>
      </c>
      <c r="C7">
        <f>+C4</f>
        <v>39024.404999999999</v>
      </c>
    </row>
    <row r="8" spans="1:4">
      <c r="A8" t="s">
        <v>3</v>
      </c>
      <c r="C8">
        <f>+D4</f>
        <v>0.56140000000000001</v>
      </c>
    </row>
    <row r="10" spans="1:4" ht="13.5" thickBot="1">
      <c r="C10" s="7" t="s">
        <v>22</v>
      </c>
      <c r="D10" s="7" t="s">
        <v>23</v>
      </c>
    </row>
    <row r="11" spans="1:4">
      <c r="A11" t="s">
        <v>16</v>
      </c>
      <c r="C11">
        <f>INTERCEPT(G21:G993,F21:F993)</f>
        <v>-2.4248688768286987E-2</v>
      </c>
      <c r="D11" s="6"/>
    </row>
    <row r="12" spans="1:4">
      <c r="A12" t="s">
        <v>17</v>
      </c>
      <c r="C12">
        <f>SLOPE(G21:G993,F21:F993)</f>
        <v>1.8910765494031658E-6</v>
      </c>
      <c r="D12" s="6"/>
    </row>
    <row r="13" spans="1:4">
      <c r="A13" t="s">
        <v>21</v>
      </c>
      <c r="C13" s="6" t="s">
        <v>14</v>
      </c>
      <c r="D13" s="6"/>
    </row>
    <row r="14" spans="1:4">
      <c r="A14" t="s">
        <v>26</v>
      </c>
    </row>
    <row r="15" spans="1:4">
      <c r="A15" s="5" t="s">
        <v>18</v>
      </c>
      <c r="C15" s="12">
        <f>(C7+C11)+(C8+C12)*INT(MAX(F21:F3533))</f>
        <v>52382.938749477726</v>
      </c>
    </row>
    <row r="16" spans="1:4">
      <c r="A16" s="8" t="s">
        <v>4</v>
      </c>
      <c r="C16" s="13">
        <f>+C8+C12</f>
        <v>0.56140189107654936</v>
      </c>
    </row>
    <row r="17" spans="1:31" ht="13.5" thickBot="1">
      <c r="A17" s="14" t="s">
        <v>45</v>
      </c>
      <c r="C17">
        <f>COUNT(C21:C2191)</f>
        <v>18</v>
      </c>
    </row>
    <row r="18" spans="1:31">
      <c r="A18" s="8" t="s">
        <v>5</v>
      </c>
      <c r="C18" s="3">
        <f>+C15</f>
        <v>52382.938749477726</v>
      </c>
      <c r="D18" s="4">
        <f>+C16</f>
        <v>0.56140189107654936</v>
      </c>
    </row>
    <row r="19" spans="1:31" ht="13.5" thickTop="1">
      <c r="R19">
        <f>SUM(R21:R37)</f>
        <v>0.16786364988932312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43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31">
      <c r="A21" t="s">
        <v>12</v>
      </c>
      <c r="C21">
        <v>39024.404999999999</v>
      </c>
      <c r="D21" s="6" t="s">
        <v>14</v>
      </c>
      <c r="E21">
        <f t="shared" ref="E21:E37" si="0">+(C21-C$7)/C$8</f>
        <v>0</v>
      </c>
      <c r="F21">
        <f t="shared" ref="F21:F38" si="1">ROUND(2*E21,0)/2</f>
        <v>0</v>
      </c>
      <c r="G21">
        <f t="shared" ref="G21:G37" si="2">+C21-(C$7+F21*C$8)</f>
        <v>0</v>
      </c>
      <c r="H21">
        <f>+G21</f>
        <v>0</v>
      </c>
      <c r="O21">
        <f t="shared" ref="O21:O37" si="3">+C$11+C$12*F21</f>
        <v>-2.4248688768286987E-2</v>
      </c>
      <c r="Q21" s="2">
        <f t="shared" ref="Q21:Q37" si="4">+C21-15018.5</f>
        <v>24005.904999999999</v>
      </c>
      <c r="R21">
        <f>+(O21-G21)^2</f>
        <v>5.8799890698124743E-4</v>
      </c>
    </row>
    <row r="22" spans="1:31">
      <c r="A22" t="s">
        <v>32</v>
      </c>
      <c r="B22" s="6"/>
      <c r="C22" s="11">
        <v>46316.321000000004</v>
      </c>
      <c r="E22">
        <f t="shared" si="0"/>
        <v>12988.806555040977</v>
      </c>
      <c r="F22">
        <f t="shared" si="1"/>
        <v>12989</v>
      </c>
      <c r="G22">
        <f t="shared" si="2"/>
        <v>-0.10859999999229331</v>
      </c>
      <c r="I22">
        <f>G22</f>
        <v>-0.10859999999229331</v>
      </c>
      <c r="O22">
        <f t="shared" si="3"/>
        <v>3.1450453191073438E-4</v>
      </c>
      <c r="Q22" s="2">
        <f t="shared" si="4"/>
        <v>31297.821000000004</v>
      </c>
      <c r="R22">
        <f t="shared" ref="R22:R37" si="5">+(O22-G22)^2</f>
        <v>1.1862369295752861E-2</v>
      </c>
      <c r="AA22" s="6">
        <v>8</v>
      </c>
      <c r="AC22" t="s">
        <v>31</v>
      </c>
      <c r="AE22" t="s">
        <v>33</v>
      </c>
    </row>
    <row r="23" spans="1:31">
      <c r="A23" t="s">
        <v>34</v>
      </c>
      <c r="B23" s="6"/>
      <c r="C23" s="11">
        <v>46997.387999999999</v>
      </c>
      <c r="E23">
        <f t="shared" si="0"/>
        <v>14201.96473102957</v>
      </c>
      <c r="F23">
        <f t="shared" si="1"/>
        <v>14202</v>
      </c>
      <c r="G23">
        <f t="shared" si="2"/>
        <v>-1.9800000001851004E-2</v>
      </c>
      <c r="I23">
        <f>G23</f>
        <v>-1.9800000001851004E-2</v>
      </c>
      <c r="O23">
        <f t="shared" si="3"/>
        <v>2.6083803863367755E-3</v>
      </c>
      <c r="Q23" s="2">
        <f t="shared" si="4"/>
        <v>31978.887999999999</v>
      </c>
      <c r="R23">
        <f t="shared" si="5"/>
        <v>5.0213551162171864E-4</v>
      </c>
      <c r="AA23" s="6">
        <v>6</v>
      </c>
      <c r="AC23" t="s">
        <v>31</v>
      </c>
      <c r="AE23" t="s">
        <v>33</v>
      </c>
    </row>
    <row r="24" spans="1:31">
      <c r="A24" t="s">
        <v>35</v>
      </c>
      <c r="B24" s="6"/>
      <c r="C24" s="11">
        <v>47029.366999999998</v>
      </c>
      <c r="E24">
        <f t="shared" si="0"/>
        <v>14258.927680798004</v>
      </c>
      <c r="F24">
        <f t="shared" si="1"/>
        <v>14259</v>
      </c>
      <c r="G24">
        <f t="shared" si="2"/>
        <v>-4.0600000000267755E-2</v>
      </c>
      <c r="I24">
        <f>G24</f>
        <v>-4.0600000000267755E-2</v>
      </c>
      <c r="O24">
        <f t="shared" si="3"/>
        <v>2.7161717496527529E-3</v>
      </c>
      <c r="Q24" s="2">
        <f t="shared" si="4"/>
        <v>32010.866999999998</v>
      </c>
      <c r="R24">
        <f t="shared" si="5"/>
        <v>1.8762907350686115E-3</v>
      </c>
      <c r="AA24" s="6">
        <v>6</v>
      </c>
      <c r="AC24" t="s">
        <v>31</v>
      </c>
      <c r="AE24" t="s">
        <v>33</v>
      </c>
    </row>
    <row r="25" spans="1:31">
      <c r="A25" t="s">
        <v>36</v>
      </c>
      <c r="B25" s="6"/>
      <c r="C25" s="11">
        <v>47115.232000000004</v>
      </c>
      <c r="E25">
        <f t="shared" si="0"/>
        <v>14411.875667972932</v>
      </c>
      <c r="F25">
        <f t="shared" si="1"/>
        <v>14412</v>
      </c>
      <c r="G25">
        <f t="shared" si="2"/>
        <v>-6.9799999997485429E-2</v>
      </c>
      <c r="I25">
        <f>G25</f>
        <v>-6.9799999997485429E-2</v>
      </c>
      <c r="O25">
        <f t="shared" si="3"/>
        <v>3.005506461711438E-3</v>
      </c>
      <c r="Q25" s="2">
        <f t="shared" si="4"/>
        <v>32096.732000000004</v>
      </c>
      <c r="R25">
        <f t="shared" si="5"/>
        <v>5.3006417707801567E-3</v>
      </c>
      <c r="AA25" s="6">
        <v>7</v>
      </c>
      <c r="AC25" t="s">
        <v>31</v>
      </c>
      <c r="AE25" t="s">
        <v>33</v>
      </c>
    </row>
    <row r="26" spans="1:31">
      <c r="A26" t="s">
        <v>37</v>
      </c>
      <c r="B26" s="6"/>
      <c r="C26" s="11">
        <v>47296.548000000003</v>
      </c>
      <c r="E26">
        <f t="shared" si="0"/>
        <v>14734.846811542579</v>
      </c>
      <c r="F26">
        <f t="shared" si="1"/>
        <v>14735</v>
      </c>
      <c r="G26">
        <f t="shared" si="2"/>
        <v>-8.5999999995692633E-2</v>
      </c>
      <c r="I26">
        <f>G26</f>
        <v>-8.5999999995692633E-2</v>
      </c>
      <c r="O26">
        <f t="shared" si="3"/>
        <v>3.6163241871686597E-3</v>
      </c>
      <c r="Q26" s="2">
        <f t="shared" si="4"/>
        <v>32278.048000000003</v>
      </c>
      <c r="R26">
        <f t="shared" si="5"/>
        <v>8.0310855600476891E-3</v>
      </c>
      <c r="AA26" s="6">
        <v>6</v>
      </c>
      <c r="AC26" t="s">
        <v>31</v>
      </c>
      <c r="AE26" t="s">
        <v>33</v>
      </c>
    </row>
    <row r="27" spans="1:31">
      <c r="A27" s="16" t="s">
        <v>47</v>
      </c>
      <c r="B27" s="18"/>
      <c r="C27" s="17">
        <v>49169.546300000002</v>
      </c>
      <c r="D27" s="17">
        <v>1.2999999999999999E-3</v>
      </c>
      <c r="E27">
        <f t="shared" si="0"/>
        <v>18071.145885286787</v>
      </c>
      <c r="F27">
        <f t="shared" si="1"/>
        <v>18071</v>
      </c>
      <c r="G27">
        <f t="shared" si="2"/>
        <v>8.1900000004679896E-2</v>
      </c>
      <c r="J27">
        <f>G27</f>
        <v>8.1900000004679896E-2</v>
      </c>
      <c r="O27">
        <f t="shared" si="3"/>
        <v>9.9249555559776242E-3</v>
      </c>
      <c r="Q27" s="2">
        <f t="shared" si="4"/>
        <v>34151.046300000002</v>
      </c>
      <c r="R27">
        <f t="shared" si="5"/>
        <v>5.1804070233926677E-3</v>
      </c>
    </row>
    <row r="28" spans="1:31">
      <c r="A28" s="16" t="s">
        <v>47</v>
      </c>
      <c r="B28" s="6" t="s">
        <v>42</v>
      </c>
      <c r="C28" s="17">
        <v>49888.4686</v>
      </c>
      <c r="D28" s="17">
        <v>1.1999999999999999E-3</v>
      </c>
      <c r="E28">
        <f t="shared" si="0"/>
        <v>19351.734235838976</v>
      </c>
      <c r="F28">
        <f t="shared" si="1"/>
        <v>19351.5</v>
      </c>
      <c r="G28">
        <f t="shared" si="2"/>
        <v>0.13150000000314321</v>
      </c>
      <c r="J28">
        <f>G28</f>
        <v>0.13150000000314321</v>
      </c>
      <c r="O28">
        <f t="shared" si="3"/>
        <v>1.2346479077488377E-2</v>
      </c>
      <c r="Q28" s="2">
        <f t="shared" si="4"/>
        <v>34869.9686</v>
      </c>
      <c r="R28">
        <f t="shared" si="5"/>
        <v>1.4197561548980466E-2</v>
      </c>
    </row>
    <row r="29" spans="1:31">
      <c r="A29" s="16" t="s">
        <v>47</v>
      </c>
      <c r="B29" s="18"/>
      <c r="C29" s="17">
        <v>49895.483200000002</v>
      </c>
      <c r="D29" s="17">
        <v>1.6999999999999999E-3</v>
      </c>
      <c r="E29">
        <f t="shared" si="0"/>
        <v>19364.229070181696</v>
      </c>
      <c r="F29">
        <f t="shared" si="1"/>
        <v>19364</v>
      </c>
      <c r="G29">
        <f t="shared" si="2"/>
        <v>0.1286000000036438</v>
      </c>
      <c r="J29">
        <f>G29</f>
        <v>0.1286000000036438</v>
      </c>
      <c r="O29">
        <f t="shared" si="3"/>
        <v>1.2370117534355914E-2</v>
      </c>
      <c r="Q29" s="2">
        <f t="shared" si="4"/>
        <v>34876.983200000002</v>
      </c>
      <c r="R29">
        <f t="shared" si="5"/>
        <v>1.3509385578824477E-2</v>
      </c>
    </row>
    <row r="30" spans="1:31">
      <c r="A30" s="16" t="s">
        <v>47</v>
      </c>
      <c r="B30" s="6" t="s">
        <v>42</v>
      </c>
      <c r="C30" s="17">
        <v>49897.446100000001</v>
      </c>
      <c r="D30" s="17">
        <v>1.1000000000000001E-3</v>
      </c>
      <c r="E30">
        <f t="shared" si="0"/>
        <v>19367.725507659427</v>
      </c>
      <c r="F30">
        <f t="shared" si="1"/>
        <v>19367.5</v>
      </c>
      <c r="G30">
        <f t="shared" si="2"/>
        <v>0.12660000000323635</v>
      </c>
      <c r="J30">
        <f>G30</f>
        <v>0.12660000000323635</v>
      </c>
      <c r="O30">
        <f t="shared" si="3"/>
        <v>1.2376736302278826E-2</v>
      </c>
      <c r="Q30" s="2">
        <f t="shared" si="4"/>
        <v>34878.946100000001</v>
      </c>
      <c r="R30">
        <f t="shared" si="5"/>
        <v>1.304695397049848E-2</v>
      </c>
    </row>
    <row r="31" spans="1:31">
      <c r="A31" s="16" t="s">
        <v>47</v>
      </c>
      <c r="B31" s="6" t="s">
        <v>42</v>
      </c>
      <c r="C31" s="17">
        <v>49898.570899999999</v>
      </c>
      <c r="D31" s="17">
        <v>1.2999999999999999E-3</v>
      </c>
      <c r="E31">
        <f t="shared" si="0"/>
        <v>19369.729070181689</v>
      </c>
      <c r="F31">
        <f t="shared" si="1"/>
        <v>19369.5</v>
      </c>
      <c r="G31">
        <f t="shared" si="2"/>
        <v>0.1286000000036438</v>
      </c>
      <c r="J31">
        <f>G31</f>
        <v>0.1286000000036438</v>
      </c>
      <c r="O31">
        <f t="shared" si="3"/>
        <v>1.2380518455377632E-2</v>
      </c>
      <c r="Q31" s="2">
        <f t="shared" si="4"/>
        <v>34880.070899999999</v>
      </c>
      <c r="R31">
        <f t="shared" si="5"/>
        <v>1.350696789134778E-2</v>
      </c>
    </row>
    <row r="32" spans="1:31">
      <c r="A32" t="s">
        <v>39</v>
      </c>
      <c r="B32" s="6"/>
      <c r="C32" s="11">
        <v>49933.370999999999</v>
      </c>
      <c r="D32">
        <v>3.0000000000000001E-3</v>
      </c>
      <c r="E32">
        <f t="shared" si="0"/>
        <v>19431.717135732099</v>
      </c>
      <c r="F32">
        <f t="shared" si="1"/>
        <v>19431.5</v>
      </c>
      <c r="G32">
        <f t="shared" si="2"/>
        <v>0.12189999999827705</v>
      </c>
      <c r="I32">
        <f>G32</f>
        <v>0.12189999999827705</v>
      </c>
      <c r="O32">
        <f t="shared" si="3"/>
        <v>1.2497765201440629E-2</v>
      </c>
      <c r="Q32" s="2">
        <f t="shared" si="4"/>
        <v>34914.870999999999</v>
      </c>
      <c r="R32">
        <f t="shared" si="5"/>
        <v>1.1968848978542125E-2</v>
      </c>
      <c r="AA32" s="6">
        <v>17</v>
      </c>
      <c r="AC32" t="s">
        <v>38</v>
      </c>
      <c r="AE32" t="s">
        <v>33</v>
      </c>
    </row>
    <row r="33" spans="1:31">
      <c r="A33" s="16" t="s">
        <v>47</v>
      </c>
      <c r="B33" s="6" t="s">
        <v>42</v>
      </c>
      <c r="C33" s="17">
        <v>49952.447899999999</v>
      </c>
      <c r="D33" s="17">
        <v>1.2999999999999999E-3</v>
      </c>
      <c r="E33">
        <f t="shared" si="0"/>
        <v>19465.698076237975</v>
      </c>
      <c r="F33">
        <f t="shared" si="1"/>
        <v>19465.5</v>
      </c>
      <c r="G33">
        <f t="shared" si="2"/>
        <v>0.11119999999937136</v>
      </c>
      <c r="J33">
        <f>G33</f>
        <v>0.11119999999937136</v>
      </c>
      <c r="O33">
        <f t="shared" si="3"/>
        <v>1.2562061804120339E-2</v>
      </c>
      <c r="Q33" s="2">
        <f t="shared" si="4"/>
        <v>34933.947899999999</v>
      </c>
      <c r="R33">
        <f t="shared" si="5"/>
        <v>9.729442851410159E-3</v>
      </c>
    </row>
    <row r="34" spans="1:31">
      <c r="A34" s="16" t="s">
        <v>47</v>
      </c>
      <c r="B34" s="6" t="s">
        <v>42</v>
      </c>
      <c r="C34" s="17">
        <v>49997.348299999998</v>
      </c>
      <c r="D34" s="17">
        <v>1.2999999999999999E-3</v>
      </c>
      <c r="E34">
        <f t="shared" si="0"/>
        <v>19545.677413608832</v>
      </c>
      <c r="F34">
        <f t="shared" si="1"/>
        <v>19545.5</v>
      </c>
      <c r="G34">
        <f t="shared" si="2"/>
        <v>9.9600000001373701E-2</v>
      </c>
      <c r="J34">
        <f>G34</f>
        <v>9.9600000001373701E-2</v>
      </c>
      <c r="O34">
        <f t="shared" si="3"/>
        <v>1.2713347928072591E-2</v>
      </c>
      <c r="Q34" s="2">
        <f t="shared" si="4"/>
        <v>34978.848299999998</v>
      </c>
      <c r="R34">
        <f t="shared" si="5"/>
        <v>7.5492903085068799E-3</v>
      </c>
    </row>
    <row r="35" spans="1:31">
      <c r="A35" s="16" t="s">
        <v>47</v>
      </c>
      <c r="B35" s="6" t="s">
        <v>42</v>
      </c>
      <c r="C35" s="17">
        <v>50667.440799999997</v>
      </c>
      <c r="D35" s="17">
        <v>1.4E-3</v>
      </c>
      <c r="E35">
        <f t="shared" si="0"/>
        <v>20739.287139294618</v>
      </c>
      <c r="F35">
        <f t="shared" si="1"/>
        <v>20739.5</v>
      </c>
      <c r="G35">
        <f t="shared" si="2"/>
        <v>-0.11950000000069849</v>
      </c>
      <c r="J35">
        <f>G35</f>
        <v>-0.11950000000069849</v>
      </c>
      <c r="O35">
        <f t="shared" si="3"/>
        <v>1.4971293328059972E-2</v>
      </c>
      <c r="Q35" s="2">
        <f t="shared" si="4"/>
        <v>35648.940799999997</v>
      </c>
      <c r="R35">
        <f t="shared" si="5"/>
        <v>1.8082528729508999E-2</v>
      </c>
    </row>
    <row r="36" spans="1:31">
      <c r="A36" t="s">
        <v>41</v>
      </c>
      <c r="B36" s="6" t="s">
        <v>42</v>
      </c>
      <c r="C36" s="11">
        <v>50719.356899999999</v>
      </c>
      <c r="D36">
        <v>5.9999999999999995E-4</v>
      </c>
      <c r="E36">
        <f t="shared" si="0"/>
        <v>20831.76327039544</v>
      </c>
      <c r="F36">
        <f t="shared" si="1"/>
        <v>20832</v>
      </c>
      <c r="G36">
        <f t="shared" si="2"/>
        <v>-0.13289999999688007</v>
      </c>
      <c r="I36">
        <f>G36</f>
        <v>-0.13289999999688007</v>
      </c>
      <c r="O36">
        <f t="shared" si="3"/>
        <v>1.5146217908879767E-2</v>
      </c>
      <c r="Q36" s="2">
        <f t="shared" si="4"/>
        <v>35700.856899999999</v>
      </c>
      <c r="R36">
        <f t="shared" si="5"/>
        <v>2.1917682636199726E-2</v>
      </c>
      <c r="AA36" s="6">
        <v>17</v>
      </c>
      <c r="AC36" t="s">
        <v>40</v>
      </c>
      <c r="AE36" t="s">
        <v>33</v>
      </c>
    </row>
    <row r="37" spans="1:31">
      <c r="A37" s="16" t="s">
        <v>47</v>
      </c>
      <c r="B37" s="18"/>
      <c r="C37" s="17">
        <v>51432.380400000002</v>
      </c>
      <c r="D37" s="17">
        <v>5.0000000000000001E-4</v>
      </c>
      <c r="E37">
        <f t="shared" si="0"/>
        <v>22101.844317776991</v>
      </c>
      <c r="F37">
        <f t="shared" si="1"/>
        <v>22102</v>
      </c>
      <c r="G37">
        <f t="shared" si="2"/>
        <v>-8.7399999996705446E-2</v>
      </c>
      <c r="J37">
        <f>G37</f>
        <v>-8.7399999996705446E-2</v>
      </c>
      <c r="O37">
        <f t="shared" si="3"/>
        <v>1.7547885126621782E-2</v>
      </c>
      <c r="Q37" s="2">
        <f t="shared" si="4"/>
        <v>36413.880400000002</v>
      </c>
      <c r="R37">
        <f t="shared" si="5"/>
        <v>1.1014058591859088E-2</v>
      </c>
    </row>
    <row r="38" spans="1:31">
      <c r="A38" s="20" t="s">
        <v>48</v>
      </c>
      <c r="B38" s="6"/>
      <c r="C38" s="19">
        <v>52383.087</v>
      </c>
      <c r="D38" s="6"/>
      <c r="E38">
        <f>+(C38-C$7)/C$8</f>
        <v>23795.301033131458</v>
      </c>
      <c r="F38">
        <f t="shared" si="1"/>
        <v>23795.5</v>
      </c>
      <c r="G38">
        <f>+C38-(C$7+F38*C$8)</f>
        <v>-0.11170000000129221</v>
      </c>
      <c r="J38">
        <f>G38</f>
        <v>-0.11170000000129221</v>
      </c>
      <c r="O38">
        <f>+C$11+C$12*F38</f>
        <v>2.0750423263036048E-2</v>
      </c>
      <c r="Q38" s="2">
        <f>+C38-15018.5</f>
        <v>37364.587</v>
      </c>
      <c r="R38">
        <f>+(O38-G38)^2</f>
        <v>1.754311462289971E-2</v>
      </c>
    </row>
    <row r="39" spans="1:31">
      <c r="B39" s="6"/>
      <c r="D39" s="6"/>
    </row>
    <row r="40" spans="1:31">
      <c r="B40" s="6"/>
      <c r="D40" s="6"/>
    </row>
    <row r="41" spans="1:31">
      <c r="B41" s="6"/>
      <c r="D41" s="6"/>
    </row>
    <row r="42" spans="1:31">
      <c r="B42" s="6"/>
      <c r="D42" s="6"/>
    </row>
    <row r="43" spans="1:31">
      <c r="B43" s="6"/>
      <c r="D43" s="6"/>
    </row>
    <row r="44" spans="1:31">
      <c r="B44" s="6"/>
      <c r="D44" s="6"/>
    </row>
    <row r="45" spans="1:31">
      <c r="B45" s="6"/>
      <c r="D45" s="6"/>
    </row>
    <row r="46" spans="1:31">
      <c r="B46" s="6"/>
      <c r="D46" s="6"/>
    </row>
    <row r="47" spans="1:31">
      <c r="B47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2"/>
  <sheetViews>
    <sheetView topLeftCell="A10" workbookViewId="0">
      <selection activeCell="A35" sqref="A35:D43"/>
    </sheetView>
  </sheetViews>
  <sheetFormatPr defaultRowHeight="12.75"/>
  <cols>
    <col min="1" max="1" width="19.7109375" style="17" customWidth="1"/>
    <col min="2" max="2" width="4.42578125" style="16" customWidth="1"/>
    <col min="3" max="3" width="12.7109375" style="17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7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58" t="s">
        <v>67</v>
      </c>
      <c r="I1" s="59" t="s">
        <v>68</v>
      </c>
      <c r="J1" s="60" t="s">
        <v>56</v>
      </c>
    </row>
    <row r="2" spans="1:16">
      <c r="I2" s="61" t="s">
        <v>69</v>
      </c>
      <c r="J2" s="62" t="s">
        <v>70</v>
      </c>
    </row>
    <row r="3" spans="1:16">
      <c r="A3" s="63" t="s">
        <v>71</v>
      </c>
      <c r="I3" s="61" t="s">
        <v>72</v>
      </c>
      <c r="J3" s="62" t="s">
        <v>73</v>
      </c>
    </row>
    <row r="4" spans="1:16">
      <c r="I4" s="61" t="s">
        <v>74</v>
      </c>
      <c r="J4" s="62" t="s">
        <v>73</v>
      </c>
    </row>
    <row r="5" spans="1:16" ht="13.5" thickBot="1">
      <c r="I5" s="64" t="s">
        <v>75</v>
      </c>
      <c r="J5" s="65" t="s">
        <v>76</v>
      </c>
    </row>
    <row r="10" spans="1:16" ht="13.5" thickBot="1"/>
    <row r="11" spans="1:16" ht="12.75" customHeight="1" thickBot="1">
      <c r="A11" s="17" t="str">
        <f t="shared" ref="A11:A43" si="0">P11</f>
        <v> MVS 7.104 </v>
      </c>
      <c r="B11" s="6" t="str">
        <f t="shared" ref="B11:B43" si="1">IF(H11=INT(H11),"I","II")</f>
        <v>I</v>
      </c>
      <c r="C11" s="17">
        <f t="shared" ref="C11:C43" si="2">1*G11</f>
        <v>39024.404999999999</v>
      </c>
      <c r="D11" s="16" t="str">
        <f t="shared" ref="D11:D43" si="3">VLOOKUP(F11,I$1:J$5,2,FALSE)</f>
        <v>vis</v>
      </c>
      <c r="E11" s="66">
        <f>VLOOKUP(C11,Active!C$21:E$973,3,FALSE)</f>
        <v>0</v>
      </c>
      <c r="F11" s="6" t="s">
        <v>75</v>
      </c>
      <c r="G11" s="16" t="str">
        <f t="shared" ref="G11:G43" si="4">MID(I11,3,LEN(I11)-3)</f>
        <v>39024.405</v>
      </c>
      <c r="H11" s="17">
        <f t="shared" ref="H11:H43" si="5">1*K11</f>
        <v>-27195</v>
      </c>
      <c r="I11" s="67" t="s">
        <v>100</v>
      </c>
      <c r="J11" s="68" t="s">
        <v>101</v>
      </c>
      <c r="K11" s="67">
        <v>-27195</v>
      </c>
      <c r="L11" s="67" t="s">
        <v>102</v>
      </c>
      <c r="M11" s="68" t="s">
        <v>103</v>
      </c>
      <c r="N11" s="68" t="s">
        <v>104</v>
      </c>
      <c r="O11" s="69" t="s">
        <v>105</v>
      </c>
      <c r="P11" s="69" t="s">
        <v>106</v>
      </c>
    </row>
    <row r="12" spans="1:16" ht="12.75" customHeight="1" thickBot="1">
      <c r="A12" s="17" t="str">
        <f t="shared" si="0"/>
        <v> BBS 78 </v>
      </c>
      <c r="B12" s="6" t="str">
        <f t="shared" si="1"/>
        <v>I</v>
      </c>
      <c r="C12" s="17">
        <f t="shared" si="2"/>
        <v>46316.321000000004</v>
      </c>
      <c r="D12" s="16" t="str">
        <f t="shared" si="3"/>
        <v>vis</v>
      </c>
      <c r="E12" s="66">
        <f>VLOOKUP(C12,Active!C$21:E$973,3,FALSE)</f>
        <v>12992.972452870539</v>
      </c>
      <c r="F12" s="6" t="s">
        <v>75</v>
      </c>
      <c r="G12" s="16" t="str">
        <f t="shared" si="4"/>
        <v>46316.321</v>
      </c>
      <c r="H12" s="17">
        <f t="shared" si="5"/>
        <v>-14202</v>
      </c>
      <c r="I12" s="67" t="s">
        <v>107</v>
      </c>
      <c r="J12" s="68" t="s">
        <v>108</v>
      </c>
      <c r="K12" s="67">
        <v>-14202</v>
      </c>
      <c r="L12" s="67" t="s">
        <v>109</v>
      </c>
      <c r="M12" s="68" t="s">
        <v>110</v>
      </c>
      <c r="N12" s="68"/>
      <c r="O12" s="69" t="s">
        <v>111</v>
      </c>
      <c r="P12" s="69" t="s">
        <v>112</v>
      </c>
    </row>
    <row r="13" spans="1:16" ht="12.75" customHeight="1" thickBot="1">
      <c r="A13" s="17" t="str">
        <f t="shared" si="0"/>
        <v> BBS 84 </v>
      </c>
      <c r="B13" s="6" t="str">
        <f t="shared" si="1"/>
        <v>II</v>
      </c>
      <c r="C13" s="17">
        <f t="shared" si="2"/>
        <v>46997.387999999999</v>
      </c>
      <c r="D13" s="16" t="str">
        <f t="shared" si="3"/>
        <v>vis</v>
      </c>
      <c r="E13" s="66">
        <f>VLOOKUP(C13,Active!C$21:E$973,3,FALSE)</f>
        <v>14206.519724885071</v>
      </c>
      <c r="F13" s="6" t="s">
        <v>75</v>
      </c>
      <c r="G13" s="16" t="str">
        <f t="shared" si="4"/>
        <v>46997.388</v>
      </c>
      <c r="H13" s="17">
        <f t="shared" si="5"/>
        <v>-12988.5</v>
      </c>
      <c r="I13" s="67" t="s">
        <v>113</v>
      </c>
      <c r="J13" s="68" t="s">
        <v>114</v>
      </c>
      <c r="K13" s="67">
        <v>-12988.5</v>
      </c>
      <c r="L13" s="67" t="s">
        <v>115</v>
      </c>
      <c r="M13" s="68" t="s">
        <v>110</v>
      </c>
      <c r="N13" s="68"/>
      <c r="O13" s="69" t="s">
        <v>111</v>
      </c>
      <c r="P13" s="69" t="s">
        <v>116</v>
      </c>
    </row>
    <row r="14" spans="1:16" ht="12.75" customHeight="1" thickBot="1">
      <c r="A14" s="17" t="str">
        <f t="shared" si="0"/>
        <v> BBS 85 </v>
      </c>
      <c r="B14" s="6" t="str">
        <f t="shared" si="1"/>
        <v>II</v>
      </c>
      <c r="C14" s="17">
        <f t="shared" si="2"/>
        <v>47029.366999999998</v>
      </c>
      <c r="D14" s="16" t="str">
        <f t="shared" si="3"/>
        <v>vis</v>
      </c>
      <c r="E14" s="66">
        <f>VLOOKUP(C14,Active!C$21:E$973,3,FALSE)</f>
        <v>14263.50094437119</v>
      </c>
      <c r="F14" s="6" t="s">
        <v>75</v>
      </c>
      <c r="G14" s="16" t="str">
        <f t="shared" si="4"/>
        <v>47029.367</v>
      </c>
      <c r="H14" s="17">
        <f t="shared" si="5"/>
        <v>-12931.5</v>
      </c>
      <c r="I14" s="67" t="s">
        <v>117</v>
      </c>
      <c r="J14" s="68" t="s">
        <v>118</v>
      </c>
      <c r="K14" s="67">
        <v>-12931.5</v>
      </c>
      <c r="L14" s="67" t="s">
        <v>119</v>
      </c>
      <c r="M14" s="68" t="s">
        <v>110</v>
      </c>
      <c r="N14" s="68"/>
      <c r="O14" s="69" t="s">
        <v>111</v>
      </c>
      <c r="P14" s="69" t="s">
        <v>120</v>
      </c>
    </row>
    <row r="15" spans="1:16" ht="12.75" customHeight="1" thickBot="1">
      <c r="A15" s="17" t="str">
        <f t="shared" si="0"/>
        <v> BBS 86 </v>
      </c>
      <c r="B15" s="6" t="str">
        <f t="shared" si="1"/>
        <v>II</v>
      </c>
      <c r="C15" s="17">
        <f t="shared" si="2"/>
        <v>47115.232000000004</v>
      </c>
      <c r="D15" s="16" t="str">
        <f t="shared" si="3"/>
        <v>vis</v>
      </c>
      <c r="E15" s="66">
        <f>VLOOKUP(C15,Active!C$21:E$973,3,FALSE)</f>
        <v>14416.497986529354</v>
      </c>
      <c r="F15" s="6" t="s">
        <v>75</v>
      </c>
      <c r="G15" s="16" t="str">
        <f t="shared" si="4"/>
        <v>47115.232</v>
      </c>
      <c r="H15" s="17">
        <f t="shared" si="5"/>
        <v>-12778.5</v>
      </c>
      <c r="I15" s="67" t="s">
        <v>121</v>
      </c>
      <c r="J15" s="68" t="s">
        <v>122</v>
      </c>
      <c r="K15" s="67">
        <v>-12778.5</v>
      </c>
      <c r="L15" s="67" t="s">
        <v>123</v>
      </c>
      <c r="M15" s="68" t="s">
        <v>110</v>
      </c>
      <c r="N15" s="68"/>
      <c r="O15" s="69" t="s">
        <v>111</v>
      </c>
      <c r="P15" s="69" t="s">
        <v>124</v>
      </c>
    </row>
    <row r="16" spans="1:16" ht="12.75" customHeight="1" thickBot="1">
      <c r="A16" s="17" t="str">
        <f t="shared" si="0"/>
        <v> BBS 88 </v>
      </c>
      <c r="B16" s="6" t="str">
        <f t="shared" si="1"/>
        <v>II</v>
      </c>
      <c r="C16" s="17">
        <f t="shared" si="2"/>
        <v>47296.548000000003</v>
      </c>
      <c r="D16" s="16" t="str">
        <f t="shared" si="3"/>
        <v>vis</v>
      </c>
      <c r="E16" s="66">
        <f>VLOOKUP(C16,Active!C$21:E$973,3,FALSE)</f>
        <v>14739.572716581737</v>
      </c>
      <c r="F16" s="6" t="s">
        <v>75</v>
      </c>
      <c r="G16" s="16" t="str">
        <f t="shared" si="4"/>
        <v>47296.548</v>
      </c>
      <c r="H16" s="17">
        <f t="shared" si="5"/>
        <v>-12455.5</v>
      </c>
      <c r="I16" s="67" t="s">
        <v>125</v>
      </c>
      <c r="J16" s="68" t="s">
        <v>126</v>
      </c>
      <c r="K16" s="67">
        <v>-12455.5</v>
      </c>
      <c r="L16" s="67" t="s">
        <v>127</v>
      </c>
      <c r="M16" s="68" t="s">
        <v>110</v>
      </c>
      <c r="N16" s="68"/>
      <c r="O16" s="69" t="s">
        <v>111</v>
      </c>
      <c r="P16" s="69" t="s">
        <v>128</v>
      </c>
    </row>
    <row r="17" spans="1:16" ht="12.75" customHeight="1" thickBot="1">
      <c r="A17" s="17" t="str">
        <f t="shared" si="0"/>
        <v>BAVM 178 </v>
      </c>
      <c r="B17" s="6" t="str">
        <f t="shared" si="1"/>
        <v>I</v>
      </c>
      <c r="C17" s="17">
        <f t="shared" si="2"/>
        <v>49169.546300000002</v>
      </c>
      <c r="D17" s="16" t="str">
        <f t="shared" si="3"/>
        <v>vis</v>
      </c>
      <c r="E17" s="66">
        <f>VLOOKUP(C17,Active!C$21:E$973,3,FALSE)</f>
        <v>18076.941840989279</v>
      </c>
      <c r="F17" s="6" t="s">
        <v>75</v>
      </c>
      <c r="G17" s="16" t="str">
        <f t="shared" si="4"/>
        <v>49169.5463</v>
      </c>
      <c r="H17" s="17">
        <f t="shared" si="5"/>
        <v>-9118</v>
      </c>
      <c r="I17" s="67" t="s">
        <v>134</v>
      </c>
      <c r="J17" s="68" t="s">
        <v>135</v>
      </c>
      <c r="K17" s="67">
        <v>-9118</v>
      </c>
      <c r="L17" s="67" t="s">
        <v>136</v>
      </c>
      <c r="M17" s="68" t="s">
        <v>137</v>
      </c>
      <c r="N17" s="68" t="s">
        <v>138</v>
      </c>
      <c r="O17" s="69" t="s">
        <v>139</v>
      </c>
      <c r="P17" s="70" t="s">
        <v>140</v>
      </c>
    </row>
    <row r="18" spans="1:16" ht="12.75" customHeight="1" thickBot="1">
      <c r="A18" s="17" t="str">
        <f t="shared" si="0"/>
        <v>BAVM 178 </v>
      </c>
      <c r="B18" s="6" t="str">
        <f t="shared" si="1"/>
        <v>I</v>
      </c>
      <c r="C18" s="17">
        <f t="shared" si="2"/>
        <v>49888.4686</v>
      </c>
      <c r="D18" s="16" t="str">
        <f t="shared" si="3"/>
        <v>vis</v>
      </c>
      <c r="E18" s="66">
        <f>VLOOKUP(C18,Active!C$21:E$973,3,FALSE)</f>
        <v>19357.940914436407</v>
      </c>
      <c r="F18" s="6" t="s">
        <v>75</v>
      </c>
      <c r="G18" s="16" t="str">
        <f t="shared" si="4"/>
        <v>49888.4686</v>
      </c>
      <c r="H18" s="17">
        <f t="shared" si="5"/>
        <v>-7837</v>
      </c>
      <c r="I18" s="67" t="s">
        <v>141</v>
      </c>
      <c r="J18" s="68" t="s">
        <v>142</v>
      </c>
      <c r="K18" s="67">
        <v>-7837</v>
      </c>
      <c r="L18" s="67" t="s">
        <v>143</v>
      </c>
      <c r="M18" s="68" t="s">
        <v>137</v>
      </c>
      <c r="N18" s="68" t="s">
        <v>138</v>
      </c>
      <c r="O18" s="69" t="s">
        <v>139</v>
      </c>
      <c r="P18" s="70" t="s">
        <v>140</v>
      </c>
    </row>
    <row r="19" spans="1:16" ht="12.75" customHeight="1" thickBot="1">
      <c r="A19" s="17" t="str">
        <f t="shared" si="0"/>
        <v>BAVM 178 </v>
      </c>
      <c r="B19" s="6" t="str">
        <f t="shared" si="1"/>
        <v>II</v>
      </c>
      <c r="C19" s="17">
        <f t="shared" si="2"/>
        <v>49895.483200000002</v>
      </c>
      <c r="D19" s="16" t="str">
        <f t="shared" si="3"/>
        <v>vis</v>
      </c>
      <c r="E19" s="66">
        <f>VLOOKUP(C19,Active!C$21:E$973,3,FALSE)</f>
        <v>19370.439756245327</v>
      </c>
      <c r="F19" s="6" t="s">
        <v>75</v>
      </c>
      <c r="G19" s="16" t="str">
        <f t="shared" si="4"/>
        <v>49895.4832</v>
      </c>
      <c r="H19" s="17">
        <f t="shared" si="5"/>
        <v>-7824.5</v>
      </c>
      <c r="I19" s="67" t="s">
        <v>144</v>
      </c>
      <c r="J19" s="68" t="s">
        <v>145</v>
      </c>
      <c r="K19" s="67">
        <v>-7824.5</v>
      </c>
      <c r="L19" s="67" t="s">
        <v>146</v>
      </c>
      <c r="M19" s="68" t="s">
        <v>137</v>
      </c>
      <c r="N19" s="68" t="s">
        <v>138</v>
      </c>
      <c r="O19" s="69" t="s">
        <v>139</v>
      </c>
      <c r="P19" s="70" t="s">
        <v>140</v>
      </c>
    </row>
    <row r="20" spans="1:16" ht="12.75" customHeight="1" thickBot="1">
      <c r="A20" s="17" t="str">
        <f t="shared" si="0"/>
        <v>BAVM 178 </v>
      </c>
      <c r="B20" s="6" t="str">
        <f t="shared" si="1"/>
        <v>I</v>
      </c>
      <c r="C20" s="17">
        <f t="shared" si="2"/>
        <v>49897.446100000001</v>
      </c>
      <c r="D20" s="16" t="str">
        <f t="shared" si="3"/>
        <v>vis</v>
      </c>
      <c r="E20" s="66">
        <f>VLOOKUP(C20,Active!C$21:E$973,3,FALSE)</f>
        <v>19373.937315134888</v>
      </c>
      <c r="F20" s="6" t="s">
        <v>75</v>
      </c>
      <c r="G20" s="16" t="str">
        <f t="shared" si="4"/>
        <v>49897.4461</v>
      </c>
      <c r="H20" s="17">
        <f t="shared" si="5"/>
        <v>-7821</v>
      </c>
      <c r="I20" s="67" t="s">
        <v>147</v>
      </c>
      <c r="J20" s="68" t="s">
        <v>148</v>
      </c>
      <c r="K20" s="67">
        <v>-7821</v>
      </c>
      <c r="L20" s="67" t="s">
        <v>149</v>
      </c>
      <c r="M20" s="68" t="s">
        <v>137</v>
      </c>
      <c r="N20" s="68" t="s">
        <v>138</v>
      </c>
      <c r="O20" s="69" t="s">
        <v>139</v>
      </c>
      <c r="P20" s="70" t="s">
        <v>140</v>
      </c>
    </row>
    <row r="21" spans="1:16" ht="12.75" customHeight="1" thickBot="1">
      <c r="A21" s="17" t="str">
        <f t="shared" si="0"/>
        <v>BAVM 178 </v>
      </c>
      <c r="B21" s="6" t="str">
        <f t="shared" si="1"/>
        <v>I</v>
      </c>
      <c r="C21" s="17">
        <f t="shared" si="2"/>
        <v>49898.570899999999</v>
      </c>
      <c r="D21" s="16" t="str">
        <f t="shared" si="3"/>
        <v>vis</v>
      </c>
      <c r="E21" s="66">
        <f>VLOOKUP(C21,Active!C$21:E$973,3,FALSE)</f>
        <v>19375.941520259432</v>
      </c>
      <c r="F21" s="6" t="s">
        <v>75</v>
      </c>
      <c r="G21" s="16" t="str">
        <f t="shared" si="4"/>
        <v>49898.5709</v>
      </c>
      <c r="H21" s="17">
        <f t="shared" si="5"/>
        <v>-7819</v>
      </c>
      <c r="I21" s="67" t="s">
        <v>150</v>
      </c>
      <c r="J21" s="68" t="s">
        <v>151</v>
      </c>
      <c r="K21" s="67">
        <v>-7819</v>
      </c>
      <c r="L21" s="67" t="s">
        <v>152</v>
      </c>
      <c r="M21" s="68" t="s">
        <v>137</v>
      </c>
      <c r="N21" s="68" t="s">
        <v>138</v>
      </c>
      <c r="O21" s="69" t="s">
        <v>139</v>
      </c>
      <c r="P21" s="70" t="s">
        <v>140</v>
      </c>
    </row>
    <row r="22" spans="1:16" ht="12.75" customHeight="1" thickBot="1">
      <c r="A22" s="17" t="str">
        <f t="shared" si="0"/>
        <v> BBS 110 </v>
      </c>
      <c r="B22" s="6" t="str">
        <f t="shared" si="1"/>
        <v>I</v>
      </c>
      <c r="C22" s="17">
        <f t="shared" si="2"/>
        <v>49933.370999999999</v>
      </c>
      <c r="D22" s="16" t="str">
        <f t="shared" si="3"/>
        <v>vis</v>
      </c>
      <c r="E22" s="66">
        <f>VLOOKUP(C22,Active!C$21:E$973,3,FALSE)</f>
        <v>19437.949467232102</v>
      </c>
      <c r="F22" s="6" t="s">
        <v>75</v>
      </c>
      <c r="G22" s="16" t="str">
        <f t="shared" si="4"/>
        <v>49933.371</v>
      </c>
      <c r="H22" s="17">
        <f t="shared" si="5"/>
        <v>-7757</v>
      </c>
      <c r="I22" s="67" t="s">
        <v>153</v>
      </c>
      <c r="J22" s="68" t="s">
        <v>154</v>
      </c>
      <c r="K22" s="67">
        <v>-7757</v>
      </c>
      <c r="L22" s="67" t="s">
        <v>155</v>
      </c>
      <c r="M22" s="68" t="s">
        <v>103</v>
      </c>
      <c r="N22" s="68" t="s">
        <v>104</v>
      </c>
      <c r="O22" s="69" t="s">
        <v>156</v>
      </c>
      <c r="P22" s="69" t="s">
        <v>157</v>
      </c>
    </row>
    <row r="23" spans="1:16" ht="12.75" customHeight="1" thickBot="1">
      <c r="A23" s="17" t="str">
        <f t="shared" si="0"/>
        <v>BAVM 178 </v>
      </c>
      <c r="B23" s="6" t="str">
        <f t="shared" si="1"/>
        <v>I</v>
      </c>
      <c r="C23" s="17">
        <f t="shared" si="2"/>
        <v>49952.447899999999</v>
      </c>
      <c r="D23" s="16" t="str">
        <f t="shared" si="3"/>
        <v>vis</v>
      </c>
      <c r="E23" s="66">
        <f>VLOOKUP(C23,Active!C$21:E$973,3,FALSE)</f>
        <v>19471.941306439541</v>
      </c>
      <c r="F23" s="6" t="s">
        <v>75</v>
      </c>
      <c r="G23" s="16" t="str">
        <f t="shared" si="4"/>
        <v>49952.4479</v>
      </c>
      <c r="H23" s="17">
        <f t="shared" si="5"/>
        <v>-7723</v>
      </c>
      <c r="I23" s="67" t="s">
        <v>158</v>
      </c>
      <c r="J23" s="68" t="s">
        <v>159</v>
      </c>
      <c r="K23" s="67">
        <v>-7723</v>
      </c>
      <c r="L23" s="67" t="s">
        <v>152</v>
      </c>
      <c r="M23" s="68" t="s">
        <v>137</v>
      </c>
      <c r="N23" s="68" t="s">
        <v>138</v>
      </c>
      <c r="O23" s="69" t="s">
        <v>139</v>
      </c>
      <c r="P23" s="70" t="s">
        <v>140</v>
      </c>
    </row>
    <row r="24" spans="1:16" ht="12.75" customHeight="1" thickBot="1">
      <c r="A24" s="17" t="str">
        <f t="shared" si="0"/>
        <v>BAVM 178 </v>
      </c>
      <c r="B24" s="6" t="str">
        <f t="shared" si="1"/>
        <v>I</v>
      </c>
      <c r="C24" s="17">
        <f t="shared" si="2"/>
        <v>49997.348299999998</v>
      </c>
      <c r="D24" s="16" t="str">
        <f t="shared" si="3"/>
        <v>vis</v>
      </c>
      <c r="E24" s="66">
        <f>VLOOKUP(C24,Active!C$21:E$973,3,FALSE)</f>
        <v>19551.94629557036</v>
      </c>
      <c r="F24" s="6" t="s">
        <v>75</v>
      </c>
      <c r="G24" s="16" t="str">
        <f t="shared" si="4"/>
        <v>49997.3483</v>
      </c>
      <c r="H24" s="17">
        <f t="shared" si="5"/>
        <v>-7643</v>
      </c>
      <c r="I24" s="67" t="s">
        <v>160</v>
      </c>
      <c r="J24" s="68" t="s">
        <v>161</v>
      </c>
      <c r="K24" s="67">
        <v>-7643</v>
      </c>
      <c r="L24" s="67" t="s">
        <v>162</v>
      </c>
      <c r="M24" s="68" t="s">
        <v>137</v>
      </c>
      <c r="N24" s="68" t="s">
        <v>138</v>
      </c>
      <c r="O24" s="69" t="s">
        <v>139</v>
      </c>
      <c r="P24" s="70" t="s">
        <v>140</v>
      </c>
    </row>
    <row r="25" spans="1:16" ht="12.75" customHeight="1" thickBot="1">
      <c r="A25" s="17" t="str">
        <f t="shared" si="0"/>
        <v>BAVM 178 </v>
      </c>
      <c r="B25" s="6" t="str">
        <f t="shared" si="1"/>
        <v>I</v>
      </c>
      <c r="C25" s="17">
        <f t="shared" si="2"/>
        <v>50667.440799999997</v>
      </c>
      <c r="D25" s="16" t="str">
        <f t="shared" si="3"/>
        <v>vis</v>
      </c>
      <c r="E25" s="66">
        <f>VLOOKUP(C25,Active!C$21:E$973,3,FALSE)</f>
        <v>20745.938847510773</v>
      </c>
      <c r="F25" s="6" t="s">
        <v>75</v>
      </c>
      <c r="G25" s="16" t="str">
        <f t="shared" si="4"/>
        <v>50667.4408</v>
      </c>
      <c r="H25" s="17">
        <f t="shared" si="5"/>
        <v>-6449</v>
      </c>
      <c r="I25" s="67" t="s">
        <v>163</v>
      </c>
      <c r="J25" s="68" t="s">
        <v>164</v>
      </c>
      <c r="K25" s="67">
        <v>-6449</v>
      </c>
      <c r="L25" s="67" t="s">
        <v>152</v>
      </c>
      <c r="M25" s="68" t="s">
        <v>137</v>
      </c>
      <c r="N25" s="68" t="s">
        <v>138</v>
      </c>
      <c r="O25" s="69" t="s">
        <v>139</v>
      </c>
      <c r="P25" s="70" t="s">
        <v>140</v>
      </c>
    </row>
    <row r="26" spans="1:16" ht="12.75" customHeight="1" thickBot="1">
      <c r="A26" s="17" t="str">
        <f t="shared" si="0"/>
        <v> BBS 116 </v>
      </c>
      <c r="B26" s="6" t="str">
        <f t="shared" si="1"/>
        <v>II</v>
      </c>
      <c r="C26" s="17">
        <f t="shared" si="2"/>
        <v>50719.356899999999</v>
      </c>
      <c r="D26" s="16" t="str">
        <f t="shared" si="3"/>
        <v>vis</v>
      </c>
      <c r="E26" s="66">
        <f>VLOOKUP(C26,Active!C$21:E$973,3,FALSE)</f>
        <v>20838.444638466197</v>
      </c>
      <c r="F26" s="6" t="s">
        <v>75</v>
      </c>
      <c r="G26" s="16" t="str">
        <f t="shared" si="4"/>
        <v>50719.3569</v>
      </c>
      <c r="H26" s="17">
        <f t="shared" si="5"/>
        <v>-6356.5</v>
      </c>
      <c r="I26" s="67" t="s">
        <v>165</v>
      </c>
      <c r="J26" s="68" t="s">
        <v>166</v>
      </c>
      <c r="K26" s="67">
        <v>-6356.5</v>
      </c>
      <c r="L26" s="67" t="s">
        <v>167</v>
      </c>
      <c r="M26" s="68" t="s">
        <v>103</v>
      </c>
      <c r="N26" s="68" t="s">
        <v>104</v>
      </c>
      <c r="O26" s="69" t="s">
        <v>168</v>
      </c>
      <c r="P26" s="69" t="s">
        <v>169</v>
      </c>
    </row>
    <row r="27" spans="1:16" ht="12.75" customHeight="1" thickBot="1">
      <c r="A27" s="17" t="str">
        <f t="shared" si="0"/>
        <v>BAVM 178 </v>
      </c>
      <c r="B27" s="6" t="str">
        <f t="shared" si="1"/>
        <v>I</v>
      </c>
      <c r="C27" s="17">
        <f t="shared" si="2"/>
        <v>51432.380400000002</v>
      </c>
      <c r="D27" s="16" t="str">
        <f t="shared" si="3"/>
        <v>vis</v>
      </c>
      <c r="E27" s="66">
        <f>VLOOKUP(C27,Active!C$21:E$973,3,FALSE)</f>
        <v>22108.933038737039</v>
      </c>
      <c r="F27" s="6" t="s">
        <v>75</v>
      </c>
      <c r="G27" s="16" t="str">
        <f t="shared" si="4"/>
        <v>51432.3804</v>
      </c>
      <c r="H27" s="17">
        <f t="shared" si="5"/>
        <v>-5086</v>
      </c>
      <c r="I27" s="67" t="s">
        <v>170</v>
      </c>
      <c r="J27" s="68" t="s">
        <v>171</v>
      </c>
      <c r="K27" s="67">
        <v>-5086</v>
      </c>
      <c r="L27" s="67" t="s">
        <v>172</v>
      </c>
      <c r="M27" s="68" t="s">
        <v>137</v>
      </c>
      <c r="N27" s="68" t="s">
        <v>138</v>
      </c>
      <c r="O27" s="69" t="s">
        <v>139</v>
      </c>
      <c r="P27" s="70" t="s">
        <v>140</v>
      </c>
    </row>
    <row r="28" spans="1:16" ht="12.75" customHeight="1" thickBot="1">
      <c r="A28" s="17" t="str">
        <f t="shared" si="0"/>
        <v>OEJV 0074 </v>
      </c>
      <c r="B28" s="6" t="str">
        <f t="shared" si="1"/>
        <v>II</v>
      </c>
      <c r="C28" s="17">
        <f t="shared" si="2"/>
        <v>52054.500699999997</v>
      </c>
      <c r="D28" s="16" t="str">
        <f t="shared" si="3"/>
        <v>vis</v>
      </c>
      <c r="E28" s="66">
        <f>VLOOKUP(C28,Active!C$21:E$973,3,FALSE)</f>
        <v>23217.447168668252</v>
      </c>
      <c r="F28" s="6" t="s">
        <v>75</v>
      </c>
      <c r="G28" s="16" t="str">
        <f t="shared" si="4"/>
        <v>52054.50070</v>
      </c>
      <c r="H28" s="17">
        <f t="shared" si="5"/>
        <v>-3977.5</v>
      </c>
      <c r="I28" s="67" t="s">
        <v>173</v>
      </c>
      <c r="J28" s="68" t="s">
        <v>174</v>
      </c>
      <c r="K28" s="67">
        <v>-3977.5</v>
      </c>
      <c r="L28" s="67" t="s">
        <v>175</v>
      </c>
      <c r="M28" s="68" t="s">
        <v>137</v>
      </c>
      <c r="N28" s="68" t="s">
        <v>138</v>
      </c>
      <c r="O28" s="69" t="s">
        <v>176</v>
      </c>
      <c r="P28" s="70" t="s">
        <v>177</v>
      </c>
    </row>
    <row r="29" spans="1:16" ht="12.75" customHeight="1" thickBot="1">
      <c r="A29" s="17" t="str">
        <f t="shared" si="0"/>
        <v>OEJV 0074 </v>
      </c>
      <c r="B29" s="6" t="str">
        <f t="shared" si="1"/>
        <v>II</v>
      </c>
      <c r="C29" s="17">
        <f t="shared" si="2"/>
        <v>52118.476880000002</v>
      </c>
      <c r="D29" s="16" t="str">
        <f t="shared" si="3"/>
        <v>vis</v>
      </c>
      <c r="E29" s="66">
        <f>VLOOKUP(C29,Active!C$21:E$973,3,FALSE)</f>
        <v>23331.442001354197</v>
      </c>
      <c r="F29" s="6" t="s">
        <v>75</v>
      </c>
      <c r="G29" s="16" t="str">
        <f t="shared" si="4"/>
        <v>52118.47688</v>
      </c>
      <c r="H29" s="17">
        <f t="shared" si="5"/>
        <v>-3863.5</v>
      </c>
      <c r="I29" s="67" t="s">
        <v>182</v>
      </c>
      <c r="J29" s="68" t="s">
        <v>183</v>
      </c>
      <c r="K29" s="67">
        <v>-3863.5</v>
      </c>
      <c r="L29" s="67" t="s">
        <v>184</v>
      </c>
      <c r="M29" s="68" t="s">
        <v>137</v>
      </c>
      <c r="N29" s="68" t="s">
        <v>138</v>
      </c>
      <c r="O29" s="69" t="s">
        <v>185</v>
      </c>
      <c r="P29" s="70" t="s">
        <v>177</v>
      </c>
    </row>
    <row r="30" spans="1:16" ht="12.75" customHeight="1" thickBot="1">
      <c r="A30" s="17" t="str">
        <f t="shared" si="0"/>
        <v>BAVM 234 </v>
      </c>
      <c r="B30" s="6" t="str">
        <f t="shared" si="1"/>
        <v>I</v>
      </c>
      <c r="C30" s="17">
        <f t="shared" si="2"/>
        <v>55352.494400000003</v>
      </c>
      <c r="D30" s="16" t="str">
        <f t="shared" si="3"/>
        <v>vis</v>
      </c>
      <c r="E30" s="66">
        <f>VLOOKUP(C30,Active!C$21:E$973,3,FALSE)</f>
        <v>29093.919318627282</v>
      </c>
      <c r="F30" s="6" t="s">
        <v>75</v>
      </c>
      <c r="G30" s="16" t="str">
        <f t="shared" si="4"/>
        <v>55352.4944</v>
      </c>
      <c r="H30" s="17">
        <f t="shared" si="5"/>
        <v>1899</v>
      </c>
      <c r="I30" s="67" t="s">
        <v>186</v>
      </c>
      <c r="J30" s="68" t="s">
        <v>187</v>
      </c>
      <c r="K30" s="67">
        <v>1899</v>
      </c>
      <c r="L30" s="67" t="s">
        <v>172</v>
      </c>
      <c r="M30" s="68" t="s">
        <v>137</v>
      </c>
      <c r="N30" s="68" t="s">
        <v>138</v>
      </c>
      <c r="O30" s="69" t="s">
        <v>188</v>
      </c>
      <c r="P30" s="70" t="s">
        <v>189</v>
      </c>
    </row>
    <row r="31" spans="1:16" ht="12.75" customHeight="1" thickBot="1">
      <c r="A31" s="17" t="str">
        <f t="shared" si="0"/>
        <v>BAVM 215 </v>
      </c>
      <c r="B31" s="6" t="str">
        <f t="shared" si="1"/>
        <v>II</v>
      </c>
      <c r="C31" s="17">
        <f t="shared" si="2"/>
        <v>55418.442199999998</v>
      </c>
      <c r="D31" s="16" t="str">
        <f t="shared" si="3"/>
        <v>vis</v>
      </c>
      <c r="E31" s="66">
        <f>VLOOKUP(C31,Active!C$21:E$973,3,FALSE)</f>
        <v>29211.427247781612</v>
      </c>
      <c r="F31" s="6" t="s">
        <v>75</v>
      </c>
      <c r="G31" s="16" t="str">
        <f t="shared" si="4"/>
        <v>55418.4422</v>
      </c>
      <c r="H31" s="17">
        <f t="shared" si="5"/>
        <v>2016.5</v>
      </c>
      <c r="I31" s="67" t="s">
        <v>190</v>
      </c>
      <c r="J31" s="68" t="s">
        <v>191</v>
      </c>
      <c r="K31" s="67">
        <v>2016.5</v>
      </c>
      <c r="L31" s="67" t="s">
        <v>192</v>
      </c>
      <c r="M31" s="68" t="s">
        <v>137</v>
      </c>
      <c r="N31" s="68" t="s">
        <v>193</v>
      </c>
      <c r="O31" s="69" t="s">
        <v>194</v>
      </c>
      <c r="P31" s="70" t="s">
        <v>195</v>
      </c>
    </row>
    <row r="32" spans="1:16" ht="12.75" customHeight="1" thickBot="1">
      <c r="A32" s="17" t="str">
        <f t="shared" si="0"/>
        <v>BAVM 220 </v>
      </c>
      <c r="B32" s="6" t="str">
        <f t="shared" si="1"/>
        <v>I</v>
      </c>
      <c r="C32" s="17">
        <f t="shared" si="2"/>
        <v>55705.501100000001</v>
      </c>
      <c r="D32" s="16" t="str">
        <f t="shared" si="3"/>
        <v>vis</v>
      </c>
      <c r="E32" s="66">
        <f>VLOOKUP(C32,Active!C$21:E$973,3,FALSE)</f>
        <v>29722.918106981222</v>
      </c>
      <c r="F32" s="6" t="s">
        <v>75</v>
      </c>
      <c r="G32" s="16" t="str">
        <f t="shared" si="4"/>
        <v>55705.5011</v>
      </c>
      <c r="H32" s="17">
        <f t="shared" si="5"/>
        <v>2528</v>
      </c>
      <c r="I32" s="67" t="s">
        <v>196</v>
      </c>
      <c r="J32" s="68" t="s">
        <v>197</v>
      </c>
      <c r="K32" s="67" t="s">
        <v>198</v>
      </c>
      <c r="L32" s="67" t="s">
        <v>172</v>
      </c>
      <c r="M32" s="68" t="s">
        <v>137</v>
      </c>
      <c r="N32" s="68" t="s">
        <v>138</v>
      </c>
      <c r="O32" s="69" t="s">
        <v>188</v>
      </c>
      <c r="P32" s="70" t="s">
        <v>199</v>
      </c>
    </row>
    <row r="33" spans="1:16" ht="12.75" customHeight="1" thickBot="1">
      <c r="A33" s="17" t="str">
        <f t="shared" si="0"/>
        <v>BAVM 232 </v>
      </c>
      <c r="B33" s="6" t="str">
        <f t="shared" si="1"/>
        <v>I</v>
      </c>
      <c r="C33" s="17">
        <f t="shared" si="2"/>
        <v>56489.521699999998</v>
      </c>
      <c r="D33" s="16" t="str">
        <f t="shared" si="3"/>
        <v>vis</v>
      </c>
      <c r="E33" s="66">
        <f>VLOOKUP(C33,Active!C$21:E$973,3,FALSE)</f>
        <v>31119.911442927903</v>
      </c>
      <c r="F33" s="6" t="s">
        <v>75</v>
      </c>
      <c r="G33" s="16" t="str">
        <f t="shared" si="4"/>
        <v>56489.5217</v>
      </c>
      <c r="H33" s="17">
        <f t="shared" si="5"/>
        <v>3925</v>
      </c>
      <c r="I33" s="67" t="s">
        <v>200</v>
      </c>
      <c r="J33" s="68" t="s">
        <v>201</v>
      </c>
      <c r="K33" s="67" t="s">
        <v>202</v>
      </c>
      <c r="L33" s="67" t="s">
        <v>203</v>
      </c>
      <c r="M33" s="68" t="s">
        <v>137</v>
      </c>
      <c r="N33" s="68" t="s">
        <v>193</v>
      </c>
      <c r="O33" s="69" t="s">
        <v>194</v>
      </c>
      <c r="P33" s="70" t="s">
        <v>204</v>
      </c>
    </row>
    <row r="34" spans="1:16" ht="12.75" customHeight="1" thickBot="1">
      <c r="A34" s="17" t="str">
        <f t="shared" si="0"/>
        <v>BAVM 239 </v>
      </c>
      <c r="B34" s="6" t="str">
        <f t="shared" si="1"/>
        <v>I</v>
      </c>
      <c r="C34" s="17">
        <f t="shared" si="2"/>
        <v>56814.467700000001</v>
      </c>
      <c r="D34" s="16" t="str">
        <f t="shared" si="3"/>
        <v>vis</v>
      </c>
      <c r="E34" s="66">
        <f>VLOOKUP(C34,Active!C$21:E$973,3,FALSE)</f>
        <v>31698.910765831581</v>
      </c>
      <c r="F34" s="6" t="s">
        <v>75</v>
      </c>
      <c r="G34" s="16" t="str">
        <f t="shared" si="4"/>
        <v>56814.4677</v>
      </c>
      <c r="H34" s="17">
        <f t="shared" si="5"/>
        <v>4504</v>
      </c>
      <c r="I34" s="67" t="s">
        <v>205</v>
      </c>
      <c r="J34" s="68" t="s">
        <v>206</v>
      </c>
      <c r="K34" s="67" t="s">
        <v>207</v>
      </c>
      <c r="L34" s="67" t="s">
        <v>208</v>
      </c>
      <c r="M34" s="68" t="s">
        <v>137</v>
      </c>
      <c r="N34" s="68" t="s">
        <v>138</v>
      </c>
      <c r="O34" s="69" t="s">
        <v>188</v>
      </c>
      <c r="P34" s="70" t="s">
        <v>209</v>
      </c>
    </row>
    <row r="35" spans="1:16" ht="12.75" customHeight="1" thickBot="1">
      <c r="A35" s="17" t="str">
        <f t="shared" si="0"/>
        <v> MVS 3.154 </v>
      </c>
      <c r="B35" s="6" t="str">
        <f t="shared" si="1"/>
        <v>I</v>
      </c>
      <c r="C35" s="17">
        <f t="shared" si="2"/>
        <v>36811.355000000003</v>
      </c>
      <c r="D35" s="16" t="str">
        <f t="shared" si="3"/>
        <v>vis</v>
      </c>
      <c r="E35" s="66">
        <f>VLOOKUP(C35,Active!C$21:E$973,3,FALSE)</f>
        <v>-3943.2842735469076</v>
      </c>
      <c r="F35" s="6" t="s">
        <v>75</v>
      </c>
      <c r="G35" s="16" t="str">
        <f t="shared" si="4"/>
        <v>36811.355</v>
      </c>
      <c r="H35" s="17">
        <f t="shared" si="5"/>
        <v>-31138</v>
      </c>
      <c r="I35" s="67" t="s">
        <v>77</v>
      </c>
      <c r="J35" s="68" t="s">
        <v>78</v>
      </c>
      <c r="K35" s="67">
        <v>-31138</v>
      </c>
      <c r="L35" s="67" t="s">
        <v>79</v>
      </c>
      <c r="M35" s="68" t="s">
        <v>80</v>
      </c>
      <c r="N35" s="68"/>
      <c r="O35" s="69" t="s">
        <v>81</v>
      </c>
      <c r="P35" s="69" t="s">
        <v>82</v>
      </c>
    </row>
    <row r="36" spans="1:16" ht="12.75" customHeight="1" thickBot="1">
      <c r="A36" s="17" t="str">
        <f t="shared" si="0"/>
        <v> MVS 3.154 </v>
      </c>
      <c r="B36" s="6" t="str">
        <f t="shared" si="1"/>
        <v>I</v>
      </c>
      <c r="C36" s="17">
        <f t="shared" si="2"/>
        <v>36812.480000000003</v>
      </c>
      <c r="D36" s="16" t="str">
        <f t="shared" si="3"/>
        <v>vis</v>
      </c>
      <c r="E36" s="66">
        <f>VLOOKUP(C36,Active!C$21:E$973,3,FALSE)</f>
        <v>-3941.2797120558703</v>
      </c>
      <c r="F36" s="6" t="s">
        <v>75</v>
      </c>
      <c r="G36" s="16" t="str">
        <f t="shared" si="4"/>
        <v>36812.48</v>
      </c>
      <c r="H36" s="17">
        <f t="shared" si="5"/>
        <v>-31136</v>
      </c>
      <c r="I36" s="67" t="s">
        <v>83</v>
      </c>
      <c r="J36" s="68" t="s">
        <v>84</v>
      </c>
      <c r="K36" s="67">
        <v>-31136</v>
      </c>
      <c r="L36" s="67" t="s">
        <v>85</v>
      </c>
      <c r="M36" s="68" t="s">
        <v>80</v>
      </c>
      <c r="N36" s="68"/>
      <c r="O36" s="69" t="s">
        <v>81</v>
      </c>
      <c r="P36" s="69" t="s">
        <v>82</v>
      </c>
    </row>
    <row r="37" spans="1:16" ht="12.75" customHeight="1" thickBot="1">
      <c r="A37" s="17" t="str">
        <f t="shared" si="0"/>
        <v> MVS 3.154 </v>
      </c>
      <c r="B37" s="6" t="str">
        <f t="shared" si="1"/>
        <v>I</v>
      </c>
      <c r="C37" s="17">
        <f t="shared" si="2"/>
        <v>36816.43</v>
      </c>
      <c r="D37" s="16" t="str">
        <f t="shared" si="3"/>
        <v>vis</v>
      </c>
      <c r="E37" s="66">
        <f>VLOOKUP(C37,Active!C$21:E$973,3,FALSE)</f>
        <v>-3934.2414739317883</v>
      </c>
      <c r="F37" s="6" t="s">
        <v>75</v>
      </c>
      <c r="G37" s="16" t="str">
        <f t="shared" si="4"/>
        <v>36816.43</v>
      </c>
      <c r="H37" s="17">
        <f t="shared" si="5"/>
        <v>-31129</v>
      </c>
      <c r="I37" s="67" t="s">
        <v>86</v>
      </c>
      <c r="J37" s="68" t="s">
        <v>87</v>
      </c>
      <c r="K37" s="67">
        <v>-31129</v>
      </c>
      <c r="L37" s="67" t="s">
        <v>88</v>
      </c>
      <c r="M37" s="68" t="s">
        <v>80</v>
      </c>
      <c r="N37" s="68"/>
      <c r="O37" s="69" t="s">
        <v>81</v>
      </c>
      <c r="P37" s="69" t="s">
        <v>82</v>
      </c>
    </row>
    <row r="38" spans="1:16" ht="12.75" customHeight="1" thickBot="1">
      <c r="A38" s="17" t="str">
        <f t="shared" si="0"/>
        <v> MVS 3.154 </v>
      </c>
      <c r="B38" s="6" t="str">
        <f t="shared" si="1"/>
        <v>II</v>
      </c>
      <c r="C38" s="17">
        <f t="shared" si="2"/>
        <v>36818.42</v>
      </c>
      <c r="D38" s="16" t="str">
        <f t="shared" si="3"/>
        <v>vis</v>
      </c>
      <c r="E38" s="66">
        <f>VLOOKUP(C38,Active!C$21:E$973,3,FALSE)</f>
        <v>-3930.6956273832016</v>
      </c>
      <c r="F38" s="6" t="s">
        <v>75</v>
      </c>
      <c r="G38" s="16" t="str">
        <f t="shared" si="4"/>
        <v>36818.42</v>
      </c>
      <c r="H38" s="17">
        <f t="shared" si="5"/>
        <v>-31125.5</v>
      </c>
      <c r="I38" s="67" t="s">
        <v>89</v>
      </c>
      <c r="J38" s="68" t="s">
        <v>90</v>
      </c>
      <c r="K38" s="67">
        <v>-31125.5</v>
      </c>
      <c r="L38" s="67" t="s">
        <v>91</v>
      </c>
      <c r="M38" s="68" t="s">
        <v>80</v>
      </c>
      <c r="N38" s="68"/>
      <c r="O38" s="69" t="s">
        <v>81</v>
      </c>
      <c r="P38" s="69" t="s">
        <v>82</v>
      </c>
    </row>
    <row r="39" spans="1:16" ht="12.75" customHeight="1" thickBot="1">
      <c r="A39" s="17" t="str">
        <f t="shared" si="0"/>
        <v> MVS 3.154 </v>
      </c>
      <c r="B39" s="6" t="str">
        <f t="shared" si="1"/>
        <v>II</v>
      </c>
      <c r="C39" s="17">
        <f t="shared" si="2"/>
        <v>36819.58</v>
      </c>
      <c r="D39" s="16" t="str">
        <f t="shared" si="3"/>
        <v>vis</v>
      </c>
      <c r="E39" s="66">
        <f>VLOOKUP(C39,Active!C$21:E$973,3,FALSE)</f>
        <v>-3928.6287017568811</v>
      </c>
      <c r="F39" s="6" t="s">
        <v>75</v>
      </c>
      <c r="G39" s="16" t="str">
        <f t="shared" si="4"/>
        <v>36819.58</v>
      </c>
      <c r="H39" s="17">
        <f t="shared" si="5"/>
        <v>-31123.5</v>
      </c>
      <c r="I39" s="67" t="s">
        <v>92</v>
      </c>
      <c r="J39" s="68" t="s">
        <v>93</v>
      </c>
      <c r="K39" s="67">
        <v>-31123.5</v>
      </c>
      <c r="L39" s="67" t="s">
        <v>94</v>
      </c>
      <c r="M39" s="68" t="s">
        <v>80</v>
      </c>
      <c r="N39" s="68"/>
      <c r="O39" s="69" t="s">
        <v>81</v>
      </c>
      <c r="P39" s="69" t="s">
        <v>82</v>
      </c>
    </row>
    <row r="40" spans="1:16" ht="12.75" customHeight="1" thickBot="1">
      <c r="A40" s="17" t="str">
        <f t="shared" si="0"/>
        <v> MVS 3.154 </v>
      </c>
      <c r="B40" s="6" t="str">
        <f t="shared" si="1"/>
        <v>I</v>
      </c>
      <c r="C40" s="17">
        <f t="shared" si="2"/>
        <v>36820.39</v>
      </c>
      <c r="D40" s="16" t="str">
        <f t="shared" si="3"/>
        <v>vis</v>
      </c>
      <c r="E40" s="66">
        <f>VLOOKUP(C40,Active!C$21:E$973,3,FALSE)</f>
        <v>-3927.1854174833384</v>
      </c>
      <c r="F40" s="6" t="s">
        <v>75</v>
      </c>
      <c r="G40" s="16" t="str">
        <f t="shared" si="4"/>
        <v>36820.39</v>
      </c>
      <c r="H40" s="17">
        <f t="shared" si="5"/>
        <v>-31122</v>
      </c>
      <c r="I40" s="67" t="s">
        <v>95</v>
      </c>
      <c r="J40" s="68" t="s">
        <v>96</v>
      </c>
      <c r="K40" s="67">
        <v>-31122</v>
      </c>
      <c r="L40" s="67" t="s">
        <v>91</v>
      </c>
      <c r="M40" s="68" t="s">
        <v>80</v>
      </c>
      <c r="N40" s="68"/>
      <c r="O40" s="69" t="s">
        <v>81</v>
      </c>
      <c r="P40" s="69" t="s">
        <v>82</v>
      </c>
    </row>
    <row r="41" spans="1:16" ht="12.75" customHeight="1" thickBot="1">
      <c r="A41" s="17" t="str">
        <f t="shared" si="0"/>
        <v> MVS 3.154 </v>
      </c>
      <c r="B41" s="6" t="str">
        <f t="shared" si="1"/>
        <v>I</v>
      </c>
      <c r="C41" s="17">
        <f t="shared" si="2"/>
        <v>36821.5</v>
      </c>
      <c r="D41" s="16" t="str">
        <f t="shared" si="3"/>
        <v>vis</v>
      </c>
      <c r="E41" s="66">
        <f>VLOOKUP(C41,Active!C$21:E$973,3,FALSE)</f>
        <v>-3925.207583478847</v>
      </c>
      <c r="F41" s="6" t="s">
        <v>75</v>
      </c>
      <c r="G41" s="16" t="str">
        <f t="shared" si="4"/>
        <v>36821.50</v>
      </c>
      <c r="H41" s="17">
        <f t="shared" si="5"/>
        <v>-31120</v>
      </c>
      <c r="I41" s="67" t="s">
        <v>97</v>
      </c>
      <c r="J41" s="68" t="s">
        <v>98</v>
      </c>
      <c r="K41" s="67">
        <v>-31120</v>
      </c>
      <c r="L41" s="67" t="s">
        <v>99</v>
      </c>
      <c r="M41" s="68" t="s">
        <v>80</v>
      </c>
      <c r="N41" s="68"/>
      <c r="O41" s="69" t="s">
        <v>81</v>
      </c>
      <c r="P41" s="69" t="s">
        <v>82</v>
      </c>
    </row>
    <row r="42" spans="1:16" ht="12.75" customHeight="1" thickBot="1">
      <c r="A42" s="17" t="str">
        <f t="shared" si="0"/>
        <v> BRNO 31 </v>
      </c>
      <c r="B42" s="6" t="str">
        <f t="shared" si="1"/>
        <v>I</v>
      </c>
      <c r="C42" s="17">
        <f t="shared" si="2"/>
        <v>48127.427000000003</v>
      </c>
      <c r="D42" s="16" t="str">
        <f t="shared" si="3"/>
        <v>vis</v>
      </c>
      <c r="E42" s="66">
        <f>VLOOKUP(C42,Active!C$21:E$973,3,FALSE)</f>
        <v>16220.059869569872</v>
      </c>
      <c r="F42" s="6" t="s">
        <v>75</v>
      </c>
      <c r="G42" s="16" t="str">
        <f t="shared" si="4"/>
        <v>48127.427</v>
      </c>
      <c r="H42" s="17">
        <f t="shared" si="5"/>
        <v>-10975</v>
      </c>
      <c r="I42" s="67" t="s">
        <v>129</v>
      </c>
      <c r="J42" s="68" t="s">
        <v>130</v>
      </c>
      <c r="K42" s="67">
        <v>-10975</v>
      </c>
      <c r="L42" s="67" t="s">
        <v>131</v>
      </c>
      <c r="M42" s="68" t="s">
        <v>110</v>
      </c>
      <c r="N42" s="68"/>
      <c r="O42" s="69" t="s">
        <v>132</v>
      </c>
      <c r="P42" s="69" t="s">
        <v>133</v>
      </c>
    </row>
    <row r="43" spans="1:16" ht="12.75" customHeight="1" thickBot="1">
      <c r="A43" s="17" t="str">
        <f t="shared" si="0"/>
        <v> BBS 126 </v>
      </c>
      <c r="B43" s="6" t="str">
        <f t="shared" si="1"/>
        <v>I</v>
      </c>
      <c r="C43" s="17">
        <f t="shared" si="2"/>
        <v>52093.495799999997</v>
      </c>
      <c r="D43" s="16" t="str">
        <f t="shared" si="3"/>
        <v>vis</v>
      </c>
      <c r="E43" s="66">
        <f>VLOOKUP(C43,Active!C$21:E$973,3,FALSE)</f>
        <v>23286.929902711945</v>
      </c>
      <c r="F43" s="6" t="s">
        <v>75</v>
      </c>
      <c r="G43" s="16" t="str">
        <f t="shared" si="4"/>
        <v>52093.4958</v>
      </c>
      <c r="H43" s="17">
        <f t="shared" si="5"/>
        <v>-3908</v>
      </c>
      <c r="I43" s="67" t="s">
        <v>178</v>
      </c>
      <c r="J43" s="68" t="s">
        <v>179</v>
      </c>
      <c r="K43" s="67">
        <v>-3908</v>
      </c>
      <c r="L43" s="67" t="s">
        <v>180</v>
      </c>
      <c r="M43" s="68" t="s">
        <v>103</v>
      </c>
      <c r="N43" s="68" t="s">
        <v>104</v>
      </c>
      <c r="O43" s="69" t="s">
        <v>156</v>
      </c>
      <c r="P43" s="69" t="s">
        <v>181</v>
      </c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</sheetData>
  <phoneticPr fontId="7" type="noConversion"/>
  <hyperlinks>
    <hyperlink ref="A3" r:id="rId1"/>
    <hyperlink ref="P17" r:id="rId2" display="http://www.bav-astro.de/sfs/BAVM_link.php?BAVMnr=178"/>
    <hyperlink ref="P18" r:id="rId3" display="http://www.bav-astro.de/sfs/BAVM_link.php?BAVMnr=178"/>
    <hyperlink ref="P19" r:id="rId4" display="http://www.bav-astro.de/sfs/BAVM_link.php?BAVMnr=178"/>
    <hyperlink ref="P20" r:id="rId5" display="http://www.bav-astro.de/sfs/BAVM_link.php?BAVMnr=178"/>
    <hyperlink ref="P21" r:id="rId6" display="http://www.bav-astro.de/sfs/BAVM_link.php?BAVMnr=178"/>
    <hyperlink ref="P23" r:id="rId7" display="http://www.bav-astro.de/sfs/BAVM_link.php?BAVMnr=178"/>
    <hyperlink ref="P24" r:id="rId8" display="http://www.bav-astro.de/sfs/BAVM_link.php?BAVMnr=178"/>
    <hyperlink ref="P25" r:id="rId9" display="http://www.bav-astro.de/sfs/BAVM_link.php?BAVMnr=178"/>
    <hyperlink ref="P27" r:id="rId10" display="http://www.bav-astro.de/sfs/BAVM_link.php?BAVMnr=178"/>
    <hyperlink ref="P28" r:id="rId11" display="http://var.astro.cz/oejv/issues/oejv0074.pdf"/>
    <hyperlink ref="P29" r:id="rId12" display="http://var.astro.cz/oejv/issues/oejv0074.pdf"/>
    <hyperlink ref="P30" r:id="rId13" display="http://www.bav-astro.de/sfs/BAVM_link.php?BAVMnr=234"/>
    <hyperlink ref="P31" r:id="rId14" display="http://www.bav-astro.de/sfs/BAVM_link.php?BAVMnr=215"/>
    <hyperlink ref="P32" r:id="rId15" display="http://www.bav-astro.de/sfs/BAVM_link.php?BAVMnr=220"/>
    <hyperlink ref="P33" r:id="rId16" display="http://www.bav-astro.de/sfs/BAVM_link.php?BAVMnr=232"/>
    <hyperlink ref="P34" r:id="rId17" display="http://www.bav-astro.de/sfs/BAVM_link.php?BAVMnr=239"/>
  </hyperlinks>
  <pageMargins left="0.75" right="0.75" top="1" bottom="1" header="0.5" footer="0.5"/>
  <pageSetup orientation="portrait" horizontalDpi="300" verticalDpi="300" r:id="rId1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2024-01-11T03:47:55Z</dcterms:modified>
</cp:coreProperties>
</file>