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5A4A606-F62B-4C1D-8B8E-E1B051F3D58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Q3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R26" i="1"/>
  <c r="E27" i="1"/>
  <c r="F27" i="1"/>
  <c r="G27" i="1"/>
  <c r="H27" i="1"/>
  <c r="E28" i="1"/>
  <c r="F28" i="1"/>
  <c r="G28" i="1"/>
  <c r="H28" i="1"/>
  <c r="E29" i="1"/>
  <c r="F29" i="1"/>
  <c r="G29" i="1"/>
  <c r="H29" i="1"/>
  <c r="E9" i="1"/>
  <c r="D9" i="1"/>
  <c r="Q21" i="1"/>
  <c r="Q22" i="1"/>
  <c r="Q23" i="1"/>
  <c r="Q24" i="1"/>
  <c r="Q25" i="1"/>
  <c r="Q26" i="1"/>
  <c r="Q27" i="1"/>
  <c r="Q28" i="1"/>
  <c r="Q29" i="1"/>
  <c r="H19" i="2"/>
  <c r="G19" i="2"/>
  <c r="C19" i="2"/>
  <c r="E19" i="2"/>
  <c r="D19" i="2"/>
  <c r="B19" i="2"/>
  <c r="A19" i="2"/>
  <c r="H18" i="2"/>
  <c r="G18" i="2"/>
  <c r="D18" i="2"/>
  <c r="C18" i="2"/>
  <c r="E18" i="2"/>
  <c r="B18" i="2"/>
  <c r="A18" i="2"/>
  <c r="H17" i="2"/>
  <c r="B17" i="2"/>
  <c r="G17" i="2"/>
  <c r="C17" i="2"/>
  <c r="E17" i="2"/>
  <c r="D17" i="2"/>
  <c r="A17" i="2"/>
  <c r="H16" i="2"/>
  <c r="B16" i="2"/>
  <c r="G16" i="2"/>
  <c r="D16" i="2"/>
  <c r="C16" i="2"/>
  <c r="E16" i="2"/>
  <c r="A16" i="2"/>
  <c r="H15" i="2"/>
  <c r="G15" i="2"/>
  <c r="C15" i="2"/>
  <c r="E15" i="2"/>
  <c r="D15" i="2"/>
  <c r="B15" i="2"/>
  <c r="A15" i="2"/>
  <c r="H14" i="2"/>
  <c r="G14" i="2"/>
  <c r="D14" i="2"/>
  <c r="C14" i="2"/>
  <c r="E14" i="2"/>
  <c r="B14" i="2"/>
  <c r="A14" i="2"/>
  <c r="H13" i="2"/>
  <c r="B13" i="2"/>
  <c r="G13" i="2"/>
  <c r="C13" i="2"/>
  <c r="E13" i="2"/>
  <c r="D13" i="2"/>
  <c r="A13" i="2"/>
  <c r="H12" i="2"/>
  <c r="B12" i="2"/>
  <c r="G12" i="2"/>
  <c r="D12" i="2"/>
  <c r="C12" i="2"/>
  <c r="E12" i="2"/>
  <c r="A12" i="2"/>
  <c r="H11" i="2"/>
  <c r="G11" i="2"/>
  <c r="C11" i="2"/>
  <c r="E11" i="2"/>
  <c r="D11" i="2"/>
  <c r="B11" i="2"/>
  <c r="A11" i="2"/>
  <c r="D8" i="1"/>
  <c r="F16" i="1"/>
  <c r="F17" i="1" s="1"/>
  <c r="C17" i="1"/>
  <c r="C11" i="1"/>
  <c r="C12" i="1"/>
  <c r="C16" i="1" l="1"/>
  <c r="D18" i="1" s="1"/>
  <c r="O30" i="1"/>
  <c r="O21" i="1"/>
  <c r="C15" i="1"/>
  <c r="F18" i="1" s="1"/>
  <c r="O28" i="1"/>
  <c r="O23" i="1"/>
  <c r="O26" i="1"/>
  <c r="O25" i="1"/>
  <c r="O24" i="1"/>
  <c r="O29" i="1"/>
  <c r="O22" i="1"/>
  <c r="O27" i="1"/>
  <c r="C18" i="1" l="1"/>
  <c r="F19" i="1"/>
</calcChain>
</file>

<file path=xl/sharedStrings.xml><?xml version="1.0" encoding="utf-8"?>
<sst xmlns="http://schemas.openxmlformats.org/spreadsheetml/2006/main" count="150" uniqueCount="87">
  <si>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</si>
  <si>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</si>
  <si>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</si>
  <si>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</si>
  <si>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</si>
  <si>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</si>
  <si>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</si>
  <si>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</si>
  <si>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</si>
  <si>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</si>
  <si>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</si>
  <si>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</si>
  <si>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</si>
  <si>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</si>
  <si>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</si>
  <si>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</si>
  <si>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</si>
  <si>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</si>
  <si>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</si>
  <si>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</si>
  <si>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</si>
  <si>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</si>
  <si>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</si>
  <si>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</si>
  <si>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</si>
  <si>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</si>
  <si>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</si>
  <si>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</si>
  <si>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</si>
  <si>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</si>
  <si>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</si>
  <si>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</si>
  <si>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</si>
  <si>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</si>
  <si>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</si>
  <si>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</si>
  <si>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</si>
  <si>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</si>
  <si>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V0799 Aql</t>
  </si>
  <si>
    <t>G5119-0605</t>
  </si>
  <si>
    <t>V0799 Aql / GSC 5119-0605</t>
  </si>
  <si>
    <t>EA</t>
  </si>
  <si>
    <t>Malkov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</si>
  <si>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</si>
  <si>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</si>
  <si>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</si>
  <si>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</si>
  <si>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</si>
  <si>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</si>
  <si>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</si>
  <si>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2427962.957 </t>
  </si>
  <si>
    <t> 09.06.1935 10:58 </t>
  </si>
  <si>
    <t> 0.122 </t>
  </si>
  <si>
    <t>P </t>
  </si>
  <si>
    <t> G.A.Bakos </t>
  </si>
  <si>
    <t> AOLD 20.190 </t>
  </si>
  <si>
    <t>2427983.929 </t>
  </si>
  <si>
    <t> 30.06.1935 10:17 </t>
  </si>
  <si>
    <t> 0.087 </t>
  </si>
  <si>
    <t>2428042.764 </t>
  </si>
  <si>
    <t> 28.08.1935 06:20 </t>
  </si>
  <si>
    <t> 0.104 </t>
  </si>
  <si>
    <t>2428044.799 </t>
  </si>
  <si>
    <t> 30.08.1935 07:10 </t>
  </si>
  <si>
    <t> 0.038 </t>
  </si>
  <si>
    <t>2428784.334 </t>
  </si>
  <si>
    <t> 07.09.1937 20:00 </t>
  </si>
  <si>
    <t> 0.146 </t>
  </si>
  <si>
    <t>2429027.281 </t>
  </si>
  <si>
    <t> 08.05.1938 18:44 </t>
  </si>
  <si>
    <t> -0.582 </t>
  </si>
  <si>
    <t>2432853.184 </t>
  </si>
  <si>
    <t> 28.10.1948 16:24 </t>
  </si>
  <si>
    <t> 0.042 </t>
  </si>
  <si>
    <t> N.E.Kurochkin </t>
  </si>
  <si>
    <t> PZ 12.283 </t>
  </si>
  <si>
    <t>2433189.26 </t>
  </si>
  <si>
    <t> 29.09.1949 18:14 </t>
  </si>
  <si>
    <t> 0.01 </t>
  </si>
  <si>
    <t>2433210.24 </t>
  </si>
  <si>
    <t> 20.10.1949 17:45 </t>
  </si>
  <si>
    <t> -0.01 </t>
  </si>
  <si>
    <t>I</t>
  </si>
  <si>
    <t>s5</t>
  </si>
  <si>
    <t>s6</t>
  </si>
  <si>
    <t>s7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</si>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</sst>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V0799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9.3759999981557485E-3</c:v>
                </c:pt>
                <c:pt idx="1">
                  <c:v>-2.4794000000838423E-2</c:v>
                </c:pt>
                <c:pt idx="2">
                  <c:v>-7.0700000032957178E-3</c:v>
                </c:pt>
                <c:pt idx="3">
                  <c:v>-7.2686999999859836E-2</c:v>
                </c:pt>
                <c:pt idx="4">
                  <c:v>4.5128999998269137E-2</c:v>
                </c:pt>
                <c:pt idx="6">
                  <c:v>0</c:v>
                </c:pt>
                <c:pt idx="7">
                  <c:v>-2.2720000000845175E-2</c:v>
                </c:pt>
                <c:pt idx="8">
                  <c:v>-4.889000000548549E-2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3-4DBF-90F1-365A02E1E2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3-4DBF-90F1-365A02E1E2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3-4DBF-90F1-365A02E1E2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9">
                  <c:v>0.25710600000456907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3-4DBF-90F1-365A02E1E2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3-4DBF-90F1-365A02E1E2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3-4DBF-90F1-365A02E1E2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3-4DBF-90F1-365A02E1E2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-3.32986226781017E-2</c:v>
                </c:pt>
                <c:pt idx="1">
                  <c:v>-3.3082157846695083E-2</c:v>
                </c:pt>
                <c:pt idx="2">
                  <c:v>-3.2476056318756552E-2</c:v>
                </c:pt>
                <c:pt idx="3">
                  <c:v>-3.2454409835615892E-2</c:v>
                </c:pt>
                <c:pt idx="4">
                  <c:v>-2.4834847770102919E-2</c:v>
                </c:pt>
                <c:pt idx="5">
                  <c:v>-2.2334678967356476E-2</c:v>
                </c:pt>
                <c:pt idx="6">
                  <c:v>1.7094390073359098E-2</c:v>
                </c:pt>
                <c:pt idx="7">
                  <c:v>2.0557827375864993E-2</c:v>
                </c:pt>
                <c:pt idx="8">
                  <c:v>2.0774292207271613E-2</c:v>
                </c:pt>
                <c:pt idx="9">
                  <c:v>0.23316958478344574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B3-4DBF-90F1-365A02E1E27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-2328</c:v>
                </c:pt>
                <c:pt idx="1">
                  <c:v>-2318</c:v>
                </c:pt>
                <c:pt idx="2">
                  <c:v>-2290</c:v>
                </c:pt>
                <c:pt idx="3">
                  <c:v>-2289</c:v>
                </c:pt>
                <c:pt idx="4">
                  <c:v>-1937</c:v>
                </c:pt>
                <c:pt idx="5">
                  <c:v>-1821.5</c:v>
                </c:pt>
                <c:pt idx="6">
                  <c:v>0</c:v>
                </c:pt>
                <c:pt idx="7">
                  <c:v>160</c:v>
                </c:pt>
                <c:pt idx="8">
                  <c:v>170</c:v>
                </c:pt>
                <c:pt idx="9">
                  <c:v>9982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5">
                  <c:v>0.37086549999730778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B3-4DBF-90F1-365A02E1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33920"/>
        <c:axId val="1"/>
      </c:scatterChart>
      <c:valAx>
        <c:axId val="61373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3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51D2EB-B9F1-A264-9F45-D59F7B3D5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1" sqref="E10: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40</v>
      </c>
      <c r="F1" s="31" t="s">
        <v>38</v>
      </c>
      <c r="G1" s="32"/>
      <c r="H1" s="33"/>
      <c r="I1" s="34" t="s">
        <v>39</v>
      </c>
      <c r="J1" s="35"/>
      <c r="K1" s="36"/>
      <c r="L1" s="37"/>
      <c r="M1" s="38">
        <v>32853.184000000001</v>
      </c>
      <c r="N1" s="38">
        <v>2.1006170000000002</v>
      </c>
      <c r="O1" s="41" t="s">
        <v>41</v>
      </c>
    </row>
    <row r="2" spans="1:15" x14ac:dyDescent="0.2">
      <c r="A2" t="s">
        <v>23</v>
      </c>
      <c r="B2" t="s">
        <v>41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53821.8</v>
      </c>
      <c r="D4" s="28">
        <v>2.1006469999999999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32853.184000000001</v>
      </c>
      <c r="D7" s="29" t="s">
        <v>42</v>
      </c>
    </row>
    <row r="8" spans="1:15" x14ac:dyDescent="0.2">
      <c r="A8" t="s">
        <v>3</v>
      </c>
      <c r="C8" s="54">
        <v>2.1006170000000002</v>
      </c>
      <c r="D8" s="29" t="str">
        <f>D7</f>
        <v>Malkov</v>
      </c>
    </row>
    <row r="9" spans="1:15" x14ac:dyDescent="0.2">
      <c r="A9" s="24" t="s">
        <v>29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1.7094390073359098E-2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2.1646483140661856E-5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53821.776063584788</v>
      </c>
      <c r="E15" s="14" t="s">
        <v>31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2.1006386464831408</v>
      </c>
      <c r="E16" s="14" t="s">
        <v>27</v>
      </c>
      <c r="F16" s="40">
        <f ca="1">NOW()+15018.5+$C$5/24</f>
        <v>60320.711404745365</v>
      </c>
    </row>
    <row r="17" spans="1:18" ht="13.5" thickBot="1" x14ac:dyDescent="0.25">
      <c r="A17" s="14" t="s">
        <v>24</v>
      </c>
      <c r="B17" s="10"/>
      <c r="C17" s="10">
        <f>COUNT(C21:C2190)</f>
        <v>10</v>
      </c>
      <c r="E17" s="14" t="s">
        <v>32</v>
      </c>
      <c r="F17" s="15">
        <f ca="1">ROUND(2*(F16-$C$7)/$C$8,0)/2+F15</f>
        <v>13077</v>
      </c>
    </row>
    <row r="18" spans="1:18" ht="14.25" thickTop="1" thickBot="1" x14ac:dyDescent="0.25">
      <c r="A18" s="16" t="s">
        <v>5</v>
      </c>
      <c r="B18" s="10"/>
      <c r="C18" s="19">
        <f ca="1">+C15</f>
        <v>53821.776063584788</v>
      </c>
      <c r="D18" s="20">
        <f ca="1">+C16</f>
        <v>2.1006386464831408</v>
      </c>
      <c r="E18" s="14" t="s">
        <v>33</v>
      </c>
      <c r="F18" s="23">
        <f ca="1">ROUND(2*(F16-$C$15)/$C$16,0)/2+F15</f>
        <v>3095</v>
      </c>
    </row>
    <row r="19" spans="1:18" ht="13.5" thickTop="1" x14ac:dyDescent="0.2">
      <c r="E19" s="14" t="s">
        <v>28</v>
      </c>
      <c r="F19" s="18">
        <f ca="1">+$C$15+$C$16*F18-15018.5-$C$5/24</f>
        <v>45305.148507783444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35</v>
      </c>
      <c r="J20" s="7" t="s">
        <v>36</v>
      </c>
      <c r="K20" s="7" t="s">
        <v>37</v>
      </c>
      <c r="L20" s="7" t="s">
        <v>83</v>
      </c>
      <c r="M20" s="7" t="s">
        <v>84</v>
      </c>
      <c r="N20" s="7" t="s">
        <v>85</v>
      </c>
      <c r="O20" s="7" t="s">
        <v>22</v>
      </c>
      <c r="P20" s="6" t="s">
        <v>21</v>
      </c>
      <c r="Q20" s="4" t="s">
        <v>14</v>
      </c>
      <c r="R20" s="26" t="s">
        <v>30</v>
      </c>
    </row>
    <row r="21" spans="1:18" x14ac:dyDescent="0.2">
      <c r="A21" t="s">
        <v>55</v>
      </c>
      <c r="B21" t="s">
        <v>82</v>
      </c>
      <c r="C21" s="8">
        <v>27962.956999999999</v>
      </c>
      <c r="D21" s="8" t="s">
        <v>35</v>
      </c>
      <c r="E21">
        <f t="shared" ref="E21:E30" si="0">+(C21-C$7)/C$8</f>
        <v>-2327.9955365495007</v>
      </c>
      <c r="F21">
        <f t="shared" ref="F21:F30" si="1">ROUND(2*E21,0)/2</f>
        <v>-2328</v>
      </c>
      <c r="G21">
        <f>+C21-(C$7+F21*C$8)</f>
        <v>9.3759999981557485E-3</v>
      </c>
      <c r="H21">
        <f>+G21</f>
        <v>9.3759999981557485E-3</v>
      </c>
      <c r="O21">
        <f t="shared" ref="O21:O30" ca="1" si="2">+C$11+C$12*$F21</f>
        <v>-3.32986226781017E-2</v>
      </c>
      <c r="Q21" s="2">
        <f t="shared" ref="Q21:Q30" si="3">+C21-15018.5</f>
        <v>12944.456999999999</v>
      </c>
    </row>
    <row r="22" spans="1:18" x14ac:dyDescent="0.2">
      <c r="A22" t="s">
        <v>55</v>
      </c>
      <c r="B22" t="s">
        <v>82</v>
      </c>
      <c r="C22" s="8">
        <v>27983.929</v>
      </c>
      <c r="D22" s="8" t="s">
        <v>35</v>
      </c>
      <c r="E22">
        <f t="shared" si="0"/>
        <v>-2318.0118031987749</v>
      </c>
      <c r="F22">
        <f t="shared" si="1"/>
        <v>-2318</v>
      </c>
      <c r="G22">
        <f>+C22-(C$7+F22*C$8)</f>
        <v>-2.4794000000838423E-2</v>
      </c>
      <c r="H22">
        <f>+G22</f>
        <v>-2.4794000000838423E-2</v>
      </c>
      <c r="O22">
        <f t="shared" ca="1" si="2"/>
        <v>-3.3082157846695083E-2</v>
      </c>
      <c r="Q22" s="2">
        <f t="shared" si="3"/>
        <v>12965.429</v>
      </c>
    </row>
    <row r="23" spans="1:18" x14ac:dyDescent="0.2">
      <c r="A23" t="s">
        <v>55</v>
      </c>
      <c r="B23" t="s">
        <v>82</v>
      </c>
      <c r="C23" s="8">
        <v>28042.763999999999</v>
      </c>
      <c r="D23" s="8" t="s">
        <v>35</v>
      </c>
      <c r="E23">
        <f t="shared" si="0"/>
        <v>-2290.0033656777991</v>
      </c>
      <c r="F23">
        <f t="shared" si="1"/>
        <v>-2290</v>
      </c>
      <c r="G23">
        <f>+C23-(C$7+F23*C$8)</f>
        <v>-7.0700000032957178E-3</v>
      </c>
      <c r="H23">
        <f>+G23</f>
        <v>-7.0700000032957178E-3</v>
      </c>
      <c r="O23">
        <f t="shared" ca="1" si="2"/>
        <v>-3.2476056318756552E-2</v>
      </c>
      <c r="Q23" s="2">
        <f t="shared" si="3"/>
        <v>13024.263999999999</v>
      </c>
    </row>
    <row r="24" spans="1:18" x14ac:dyDescent="0.2">
      <c r="A24" t="s">
        <v>55</v>
      </c>
      <c r="B24" t="s">
        <v>82</v>
      </c>
      <c r="C24" s="8">
        <v>28044.798999999999</v>
      </c>
      <c r="D24" s="8" t="s">
        <v>35</v>
      </c>
      <c r="E24">
        <f t="shared" si="0"/>
        <v>-2289.0346026905436</v>
      </c>
      <c r="F24">
        <f t="shared" si="1"/>
        <v>-2289</v>
      </c>
      <c r="G24">
        <f>+C24-(C$7+F24*C$8)</f>
        <v>-7.2686999999859836E-2</v>
      </c>
      <c r="H24">
        <f>+G24</f>
        <v>-7.2686999999859836E-2</v>
      </c>
      <c r="O24">
        <f t="shared" ca="1" si="2"/>
        <v>-3.2454409835615892E-2</v>
      </c>
      <c r="Q24" s="2">
        <f t="shared" si="3"/>
        <v>13026.298999999999</v>
      </c>
    </row>
    <row r="25" spans="1:18" x14ac:dyDescent="0.2">
      <c r="A25" t="s">
        <v>55</v>
      </c>
      <c r="B25" t="s">
        <v>82</v>
      </c>
      <c r="C25" s="8">
        <v>28784.333999999999</v>
      </c>
      <c r="D25" s="8" t="s">
        <v>35</v>
      </c>
      <c r="E25">
        <f t="shared" si="0"/>
        <v>-1936.978516312113</v>
      </c>
      <c r="F25">
        <f t="shared" si="1"/>
        <v>-1937</v>
      </c>
      <c r="G25">
        <f>+C25-(C$7+F25*C$8)</f>
        <v>4.5128999998269137E-2</v>
      </c>
      <c r="H25">
        <f>+G25</f>
        <v>4.5128999998269137E-2</v>
      </c>
      <c r="O25">
        <f t="shared" ca="1" si="2"/>
        <v>-2.4834847770102919E-2</v>
      </c>
      <c r="Q25" s="2">
        <f t="shared" si="3"/>
        <v>13765.833999999999</v>
      </c>
    </row>
    <row r="26" spans="1:18" x14ac:dyDescent="0.2">
      <c r="A26" t="s">
        <v>55</v>
      </c>
      <c r="B26" t="s">
        <v>82</v>
      </c>
      <c r="C26" s="8">
        <v>29027.280999999999</v>
      </c>
      <c r="D26" s="8" t="s">
        <v>35</v>
      </c>
      <c r="E26">
        <f t="shared" si="0"/>
        <v>-1821.323449253244</v>
      </c>
      <c r="F26">
        <f t="shared" si="1"/>
        <v>-1821.5</v>
      </c>
      <c r="O26">
        <f t="shared" ca="1" si="2"/>
        <v>-2.2334678967356476E-2</v>
      </c>
      <c r="Q26" s="2">
        <f t="shared" si="3"/>
        <v>14008.780999999999</v>
      </c>
      <c r="R26">
        <f>+C26-(C$7+F26*C$8)</f>
        <v>0.37086549999730778</v>
      </c>
    </row>
    <row r="27" spans="1:18" x14ac:dyDescent="0.2">
      <c r="A27" t="s">
        <v>75</v>
      </c>
      <c r="B27" t="s">
        <v>82</v>
      </c>
      <c r="C27" s="8">
        <v>32853.184000000001</v>
      </c>
      <c r="D27" s="8" t="s">
        <v>35</v>
      </c>
      <c r="E27">
        <f t="shared" si="0"/>
        <v>0</v>
      </c>
      <c r="F27">
        <f t="shared" si="1"/>
        <v>0</v>
      </c>
      <c r="G27">
        <f>+C27-(C$7+F27*C$8)</f>
        <v>0</v>
      </c>
      <c r="H27">
        <f>+G27</f>
        <v>0</v>
      </c>
      <c r="O27">
        <f t="shared" ca="1" si="2"/>
        <v>1.7094390073359098E-2</v>
      </c>
      <c r="Q27" s="2">
        <f t="shared" si="3"/>
        <v>17834.684000000001</v>
      </c>
    </row>
    <row r="28" spans="1:18" x14ac:dyDescent="0.2">
      <c r="A28" t="s">
        <v>75</v>
      </c>
      <c r="B28" t="s">
        <v>82</v>
      </c>
      <c r="C28" s="8">
        <v>33189.26</v>
      </c>
      <c r="D28" s="8" t="s">
        <v>35</v>
      </c>
      <c r="E28">
        <f t="shared" si="0"/>
        <v>159.98918413018694</v>
      </c>
      <c r="F28">
        <f t="shared" si="1"/>
        <v>160</v>
      </c>
      <c r="G28">
        <f>+C28-(C$7+F28*C$8)</f>
        <v>-2.2720000000845175E-2</v>
      </c>
      <c r="H28">
        <f>+G28</f>
        <v>-2.2720000000845175E-2</v>
      </c>
      <c r="O28">
        <f t="shared" ca="1" si="2"/>
        <v>2.0557827375864993E-2</v>
      </c>
      <c r="Q28" s="2">
        <f t="shared" si="3"/>
        <v>18170.760000000002</v>
      </c>
    </row>
    <row r="29" spans="1:18" x14ac:dyDescent="0.2">
      <c r="A29" t="s">
        <v>75</v>
      </c>
      <c r="B29" t="s">
        <v>82</v>
      </c>
      <c r="C29" s="8">
        <v>33210.239999999998</v>
      </c>
      <c r="D29" s="8" t="s">
        <v>35</v>
      </c>
      <c r="E29">
        <f t="shared" si="0"/>
        <v>169.97672588577396</v>
      </c>
      <c r="F29">
        <f t="shared" si="1"/>
        <v>170</v>
      </c>
      <c r="G29">
        <f>+C29-(C$7+F29*C$8)</f>
        <v>-4.889000000548549E-2</v>
      </c>
      <c r="H29">
        <f>+G29</f>
        <v>-4.889000000548549E-2</v>
      </c>
      <c r="O29">
        <f t="shared" ca="1" si="2"/>
        <v>2.0774292207271613E-2</v>
      </c>
      <c r="Q29" s="2">
        <f t="shared" si="3"/>
        <v>18191.739999999998</v>
      </c>
    </row>
    <row r="30" spans="1:18" x14ac:dyDescent="0.2">
      <c r="A30" t="s">
        <v>86</v>
      </c>
      <c r="C30" s="8">
        <v>53821.8</v>
      </c>
      <c r="D30" s="8"/>
      <c r="E30">
        <f t="shared" si="0"/>
        <v>9982.122395467617</v>
      </c>
      <c r="F30">
        <f t="shared" si="1"/>
        <v>9982</v>
      </c>
      <c r="G30">
        <f>+C30-(C$7+F30*C$8)</f>
        <v>0.25710600000456907</v>
      </c>
      <c r="K30">
        <f>+G30</f>
        <v>0.25710600000456907</v>
      </c>
      <c r="O30">
        <f t="shared" ca="1" si="2"/>
        <v>0.23316958478344574</v>
      </c>
      <c r="Q30" s="2">
        <f t="shared" si="3"/>
        <v>38803.300000000003</v>
      </c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43</v>
      </c>
      <c r="I1" s="43" t="s">
        <v>44</v>
      </c>
      <c r="J1" s="44" t="s">
        <v>37</v>
      </c>
    </row>
    <row r="2" spans="1:16" x14ac:dyDescent="0.2">
      <c r="I2" s="45" t="s">
        <v>45</v>
      </c>
      <c r="J2" s="46" t="s">
        <v>36</v>
      </c>
    </row>
    <row r="3" spans="1:16" x14ac:dyDescent="0.2">
      <c r="A3" s="47" t="s">
        <v>46</v>
      </c>
      <c r="I3" s="45" t="s">
        <v>47</v>
      </c>
      <c r="J3" s="46" t="s">
        <v>34</v>
      </c>
    </row>
    <row r="4" spans="1:16" x14ac:dyDescent="0.2">
      <c r="I4" s="45" t="s">
        <v>48</v>
      </c>
      <c r="J4" s="46" t="s">
        <v>34</v>
      </c>
    </row>
    <row r="5" spans="1:16" ht="13.5" thickBot="1" x14ac:dyDescent="0.25">
      <c r="I5" s="48" t="s">
        <v>49</v>
      </c>
      <c r="J5" s="49" t="s">
        <v>35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 AOLD 20.190 </v>
      </c>
      <c r="B11" s="3" t="str">
        <f t="shared" ref="B11:B19" si="1">IF(H11=INT(H11),"I","II")</f>
        <v>I</v>
      </c>
      <c r="C11" s="8">
        <f t="shared" ref="C11:C19" si="2">1*G11</f>
        <v>27962.956999999999</v>
      </c>
      <c r="D11" s="10" t="str">
        <f t="shared" ref="D11:D19" si="3">VLOOKUP(F11,I$1:J$5,2,FALSE)</f>
        <v>vis</v>
      </c>
      <c r="E11" s="50">
        <f>VLOOKUP(C11,Active!C$21:E$972,3,FALSE)</f>
        <v>-2327.9955365495007</v>
      </c>
      <c r="F11" s="3" t="s">
        <v>49</v>
      </c>
      <c r="G11" s="10" t="str">
        <f t="shared" ref="G11:G19" si="4">MID(I11,3,LEN(I11)-3)</f>
        <v>27962.957</v>
      </c>
      <c r="H11" s="8">
        <f t="shared" ref="H11:H19" si="5">1*K11</f>
        <v>-12310</v>
      </c>
      <c r="I11" s="51" t="s">
        <v>50</v>
      </c>
      <c r="J11" s="52" t="s">
        <v>51</v>
      </c>
      <c r="K11" s="51">
        <v>-12310</v>
      </c>
      <c r="L11" s="51" t="s">
        <v>52</v>
      </c>
      <c r="M11" s="52" t="s">
        <v>53</v>
      </c>
      <c r="N11" s="52"/>
      <c r="O11" s="53" t="s">
        <v>54</v>
      </c>
      <c r="P11" s="53" t="s">
        <v>55</v>
      </c>
    </row>
    <row r="12" spans="1:16" ht="12.75" customHeight="1" thickBot="1" x14ac:dyDescent="0.25">
      <c r="A12" s="8" t="str">
        <f t="shared" si="0"/>
        <v> AOLD 20.190 </v>
      </c>
      <c r="B12" s="3" t="str">
        <f t="shared" si="1"/>
        <v>I</v>
      </c>
      <c r="C12" s="8">
        <f t="shared" si="2"/>
        <v>27983.929</v>
      </c>
      <c r="D12" s="10" t="str">
        <f t="shared" si="3"/>
        <v>vis</v>
      </c>
      <c r="E12" s="50">
        <f>VLOOKUP(C12,Active!C$21:E$972,3,FALSE)</f>
        <v>-2318.0118031987749</v>
      </c>
      <c r="F12" s="3" t="s">
        <v>49</v>
      </c>
      <c r="G12" s="10" t="str">
        <f t="shared" si="4"/>
        <v>27983.929</v>
      </c>
      <c r="H12" s="8">
        <f t="shared" si="5"/>
        <v>-12300</v>
      </c>
      <c r="I12" s="51" t="s">
        <v>56</v>
      </c>
      <c r="J12" s="52" t="s">
        <v>57</v>
      </c>
      <c r="K12" s="51">
        <v>-12300</v>
      </c>
      <c r="L12" s="51" t="s">
        <v>58</v>
      </c>
      <c r="M12" s="52" t="s">
        <v>53</v>
      </c>
      <c r="N12" s="52"/>
      <c r="O12" s="53" t="s">
        <v>54</v>
      </c>
      <c r="P12" s="53" t="s">
        <v>55</v>
      </c>
    </row>
    <row r="13" spans="1:16" ht="12.75" customHeight="1" thickBot="1" x14ac:dyDescent="0.25">
      <c r="A13" s="8" t="str">
        <f t="shared" si="0"/>
        <v> AOLD 20.190 </v>
      </c>
      <c r="B13" s="3" t="str">
        <f t="shared" si="1"/>
        <v>I</v>
      </c>
      <c r="C13" s="8">
        <f t="shared" si="2"/>
        <v>28042.763999999999</v>
      </c>
      <c r="D13" s="10" t="str">
        <f t="shared" si="3"/>
        <v>vis</v>
      </c>
      <c r="E13" s="50">
        <f>VLOOKUP(C13,Active!C$21:E$972,3,FALSE)</f>
        <v>-2290.0033656777991</v>
      </c>
      <c r="F13" s="3" t="s">
        <v>49</v>
      </c>
      <c r="G13" s="10" t="str">
        <f t="shared" si="4"/>
        <v>28042.764</v>
      </c>
      <c r="H13" s="8">
        <f t="shared" si="5"/>
        <v>-12272</v>
      </c>
      <c r="I13" s="51" t="s">
        <v>59</v>
      </c>
      <c r="J13" s="52" t="s">
        <v>60</v>
      </c>
      <c r="K13" s="51">
        <v>-12272</v>
      </c>
      <c r="L13" s="51" t="s">
        <v>61</v>
      </c>
      <c r="M13" s="52" t="s">
        <v>53</v>
      </c>
      <c r="N13" s="52"/>
      <c r="O13" s="53" t="s">
        <v>54</v>
      </c>
      <c r="P13" s="53" t="s">
        <v>55</v>
      </c>
    </row>
    <row r="14" spans="1:16" ht="12.75" customHeight="1" thickBot="1" x14ac:dyDescent="0.25">
      <c r="A14" s="8" t="str">
        <f t="shared" si="0"/>
        <v> AOLD 20.190 </v>
      </c>
      <c r="B14" s="3" t="str">
        <f t="shared" si="1"/>
        <v>I</v>
      </c>
      <c r="C14" s="8">
        <f t="shared" si="2"/>
        <v>28044.798999999999</v>
      </c>
      <c r="D14" s="10" t="str">
        <f t="shared" si="3"/>
        <v>vis</v>
      </c>
      <c r="E14" s="50">
        <f>VLOOKUP(C14,Active!C$21:E$972,3,FALSE)</f>
        <v>-2289.0346026905436</v>
      </c>
      <c r="F14" s="3" t="s">
        <v>49</v>
      </c>
      <c r="G14" s="10" t="str">
        <f t="shared" si="4"/>
        <v>28044.799</v>
      </c>
      <c r="H14" s="8">
        <f t="shared" si="5"/>
        <v>-12271</v>
      </c>
      <c r="I14" s="51" t="s">
        <v>62</v>
      </c>
      <c r="J14" s="52" t="s">
        <v>63</v>
      </c>
      <c r="K14" s="51">
        <v>-12271</v>
      </c>
      <c r="L14" s="51" t="s">
        <v>64</v>
      </c>
      <c r="M14" s="52" t="s">
        <v>53</v>
      </c>
      <c r="N14" s="52"/>
      <c r="O14" s="53" t="s">
        <v>54</v>
      </c>
      <c r="P14" s="53" t="s">
        <v>55</v>
      </c>
    </row>
    <row r="15" spans="1:16" ht="12.75" customHeight="1" thickBot="1" x14ac:dyDescent="0.25">
      <c r="A15" s="8" t="str">
        <f t="shared" si="0"/>
        <v> AOLD 20.190 </v>
      </c>
      <c r="B15" s="3" t="str">
        <f t="shared" si="1"/>
        <v>I</v>
      </c>
      <c r="C15" s="8">
        <f t="shared" si="2"/>
        <v>28784.333999999999</v>
      </c>
      <c r="D15" s="10" t="str">
        <f t="shared" si="3"/>
        <v>vis</v>
      </c>
      <c r="E15" s="50">
        <f>VLOOKUP(C15,Active!C$21:E$972,3,FALSE)</f>
        <v>-1936.978516312113</v>
      </c>
      <c r="F15" s="3" t="s">
        <v>49</v>
      </c>
      <c r="G15" s="10" t="str">
        <f t="shared" si="4"/>
        <v>28784.334</v>
      </c>
      <c r="H15" s="8">
        <f t="shared" si="5"/>
        <v>-11919</v>
      </c>
      <c r="I15" s="51" t="s">
        <v>65</v>
      </c>
      <c r="J15" s="52" t="s">
        <v>66</v>
      </c>
      <c r="K15" s="51">
        <v>-11919</v>
      </c>
      <c r="L15" s="51" t="s">
        <v>67</v>
      </c>
      <c r="M15" s="52" t="s">
        <v>53</v>
      </c>
      <c r="N15" s="52"/>
      <c r="O15" s="53" t="s">
        <v>54</v>
      </c>
      <c r="P15" s="53" t="s">
        <v>55</v>
      </c>
    </row>
    <row r="16" spans="1:16" ht="12.75" customHeight="1" thickBot="1" x14ac:dyDescent="0.25">
      <c r="A16" s="8" t="str">
        <f t="shared" si="0"/>
        <v> AOLD 20.190 </v>
      </c>
      <c r="B16" s="3" t="str">
        <f t="shared" si="1"/>
        <v>I</v>
      </c>
      <c r="C16" s="8">
        <f t="shared" si="2"/>
        <v>29027.280999999999</v>
      </c>
      <c r="D16" s="10" t="str">
        <f t="shared" si="3"/>
        <v>vis</v>
      </c>
      <c r="E16" s="50">
        <f>VLOOKUP(C16,Active!C$21:E$972,3,FALSE)</f>
        <v>-1821.323449253244</v>
      </c>
      <c r="F16" s="3" t="s">
        <v>49</v>
      </c>
      <c r="G16" s="10" t="str">
        <f t="shared" si="4"/>
        <v>29027.281</v>
      </c>
      <c r="H16" s="8">
        <f t="shared" si="5"/>
        <v>-11803</v>
      </c>
      <c r="I16" s="51" t="s">
        <v>68</v>
      </c>
      <c r="J16" s="52" t="s">
        <v>69</v>
      </c>
      <c r="K16" s="51">
        <v>-11803</v>
      </c>
      <c r="L16" s="51" t="s">
        <v>70</v>
      </c>
      <c r="M16" s="52" t="s">
        <v>53</v>
      </c>
      <c r="N16" s="52"/>
      <c r="O16" s="53" t="s">
        <v>54</v>
      </c>
      <c r="P16" s="53" t="s">
        <v>55</v>
      </c>
    </row>
    <row r="17" spans="1:16" ht="12.75" customHeight="1" thickBot="1" x14ac:dyDescent="0.25">
      <c r="A17" s="8" t="str">
        <f t="shared" si="0"/>
        <v> PZ 12.283 </v>
      </c>
      <c r="B17" s="3" t="str">
        <f t="shared" si="1"/>
        <v>I</v>
      </c>
      <c r="C17" s="8">
        <f t="shared" si="2"/>
        <v>32853.184000000001</v>
      </c>
      <c r="D17" s="10" t="str">
        <f t="shared" si="3"/>
        <v>vis</v>
      </c>
      <c r="E17" s="50">
        <f>VLOOKUP(C17,Active!C$21:E$972,3,FALSE)</f>
        <v>0</v>
      </c>
      <c r="F17" s="3" t="s">
        <v>49</v>
      </c>
      <c r="G17" s="10" t="str">
        <f t="shared" si="4"/>
        <v>32853.184</v>
      </c>
      <c r="H17" s="8">
        <f t="shared" si="5"/>
        <v>-9982</v>
      </c>
      <c r="I17" s="51" t="s">
        <v>71</v>
      </c>
      <c r="J17" s="52" t="s">
        <v>72</v>
      </c>
      <c r="K17" s="51">
        <v>-9982</v>
      </c>
      <c r="L17" s="51" t="s">
        <v>73</v>
      </c>
      <c r="M17" s="52" t="s">
        <v>53</v>
      </c>
      <c r="N17" s="52"/>
      <c r="O17" s="53" t="s">
        <v>74</v>
      </c>
      <c r="P17" s="53" t="s">
        <v>75</v>
      </c>
    </row>
    <row r="18" spans="1:16" ht="12.75" customHeight="1" thickBot="1" x14ac:dyDescent="0.25">
      <c r="A18" s="8" t="str">
        <f t="shared" si="0"/>
        <v> PZ 12.283 </v>
      </c>
      <c r="B18" s="3" t="str">
        <f t="shared" si="1"/>
        <v>I</v>
      </c>
      <c r="C18" s="8">
        <f t="shared" si="2"/>
        <v>33189.26</v>
      </c>
      <c r="D18" s="10" t="str">
        <f t="shared" si="3"/>
        <v>vis</v>
      </c>
      <c r="E18" s="50">
        <f>VLOOKUP(C18,Active!C$21:E$972,3,FALSE)</f>
        <v>159.98918413018694</v>
      </c>
      <c r="F18" s="3" t="s">
        <v>49</v>
      </c>
      <c r="G18" s="10" t="str">
        <f t="shared" si="4"/>
        <v>33189.26</v>
      </c>
      <c r="H18" s="8">
        <f t="shared" si="5"/>
        <v>-9822</v>
      </c>
      <c r="I18" s="51" t="s">
        <v>76</v>
      </c>
      <c r="J18" s="52" t="s">
        <v>77</v>
      </c>
      <c r="K18" s="51">
        <v>-9822</v>
      </c>
      <c r="L18" s="51" t="s">
        <v>78</v>
      </c>
      <c r="M18" s="52" t="s">
        <v>53</v>
      </c>
      <c r="N18" s="52"/>
      <c r="O18" s="53" t="s">
        <v>74</v>
      </c>
      <c r="P18" s="53" t="s">
        <v>75</v>
      </c>
    </row>
    <row r="19" spans="1:16" ht="12.75" customHeight="1" thickBot="1" x14ac:dyDescent="0.25">
      <c r="A19" s="8" t="str">
        <f t="shared" si="0"/>
        <v> PZ 12.283 </v>
      </c>
      <c r="B19" s="3" t="str">
        <f t="shared" si="1"/>
        <v>I</v>
      </c>
      <c r="C19" s="8">
        <f t="shared" si="2"/>
        <v>33210.239999999998</v>
      </c>
      <c r="D19" s="10" t="str">
        <f t="shared" si="3"/>
        <v>vis</v>
      </c>
      <c r="E19" s="50">
        <f>VLOOKUP(C19,Active!C$21:E$972,3,FALSE)</f>
        <v>169.97672588577396</v>
      </c>
      <c r="F19" s="3" t="s">
        <v>49</v>
      </c>
      <c r="G19" s="10" t="str">
        <f t="shared" si="4"/>
        <v>33210.24</v>
      </c>
      <c r="H19" s="8">
        <f t="shared" si="5"/>
        <v>-9812</v>
      </c>
      <c r="I19" s="51" t="s">
        <v>79</v>
      </c>
      <c r="J19" s="52" t="s">
        <v>80</v>
      </c>
      <c r="K19" s="51">
        <v>-9812</v>
      </c>
      <c r="L19" s="51" t="s">
        <v>81</v>
      </c>
      <c r="M19" s="52" t="s">
        <v>53</v>
      </c>
      <c r="N19" s="52"/>
      <c r="O19" s="53" t="s">
        <v>74</v>
      </c>
      <c r="P19" s="53" t="s">
        <v>75</v>
      </c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2024-01-11T04:04:25Z</dcterms:modified>
</cp:coreProperties>
</file>