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3A9F0F8-80C8-4F03-8C6D-93AA4FBD40F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3" r:id="rId1"/>
    <sheet name="BAV" sheetId="2" r:id="rId2"/>
    <sheet name="A (old)" sheetId="1" r:id="rId3"/>
  </sheets>
  <calcPr calcId="181029"/>
</workbook>
</file>

<file path=xl/calcChain.xml><?xml version="1.0" encoding="utf-8"?>
<calcChain xmlns="http://schemas.openxmlformats.org/spreadsheetml/2006/main">
  <c r="F16" i="3" l="1"/>
  <c r="F17" i="3" s="1"/>
  <c r="F33" i="3"/>
  <c r="C7" i="3"/>
  <c r="C9" i="3"/>
  <c r="E22" i="3"/>
  <c r="F22" i="3"/>
  <c r="E23" i="3"/>
  <c r="F23" i="3"/>
  <c r="E25" i="3"/>
  <c r="F25" i="3"/>
  <c r="G25" i="3"/>
  <c r="I25" i="3"/>
  <c r="E26" i="3"/>
  <c r="F26" i="3"/>
  <c r="G26" i="3"/>
  <c r="I26" i="3"/>
  <c r="E27" i="3"/>
  <c r="F27" i="3"/>
  <c r="E29" i="3"/>
  <c r="F29" i="3"/>
  <c r="G29" i="3"/>
  <c r="I29" i="3"/>
  <c r="E30" i="3"/>
  <c r="F30" i="3"/>
  <c r="G30" i="3"/>
  <c r="I30" i="3"/>
  <c r="E31" i="3"/>
  <c r="F31" i="3"/>
  <c r="E33" i="3"/>
  <c r="G33" i="3"/>
  <c r="I33" i="3"/>
  <c r="E34" i="3"/>
  <c r="F34" i="3"/>
  <c r="G34" i="3"/>
  <c r="I34" i="3"/>
  <c r="E35" i="3"/>
  <c r="F35" i="3"/>
  <c r="E37" i="3"/>
  <c r="F37" i="3"/>
  <c r="G37" i="3"/>
  <c r="I37" i="3"/>
  <c r="E38" i="3"/>
  <c r="F38" i="3"/>
  <c r="G38" i="3"/>
  <c r="I38" i="3"/>
  <c r="E39" i="3"/>
  <c r="F39" i="3"/>
  <c r="D9" i="3"/>
  <c r="E21" i="3"/>
  <c r="F21" i="3"/>
  <c r="C17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F1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H29" i="2"/>
  <c r="G29" i="2"/>
  <c r="C29" i="2"/>
  <c r="D29" i="2"/>
  <c r="B29" i="2"/>
  <c r="A29" i="2"/>
  <c r="H28" i="2"/>
  <c r="G28" i="2"/>
  <c r="C28" i="2"/>
  <c r="D28" i="2"/>
  <c r="B28" i="2"/>
  <c r="A28" i="2"/>
  <c r="H27" i="2"/>
  <c r="B27" i="2"/>
  <c r="G27" i="2"/>
  <c r="D27" i="2"/>
  <c r="C27" i="2"/>
  <c r="A27" i="2"/>
  <c r="H26" i="2"/>
  <c r="B26" i="2"/>
  <c r="G26" i="2"/>
  <c r="D26" i="2"/>
  <c r="C26" i="2"/>
  <c r="A26" i="2"/>
  <c r="H25" i="2"/>
  <c r="G25" i="2"/>
  <c r="C25" i="2"/>
  <c r="D25" i="2"/>
  <c r="B25" i="2"/>
  <c r="A25" i="2"/>
  <c r="H24" i="2"/>
  <c r="G24" i="2"/>
  <c r="C24" i="2"/>
  <c r="D24" i="2"/>
  <c r="B24" i="2"/>
  <c r="A24" i="2"/>
  <c r="H23" i="2"/>
  <c r="B23" i="2"/>
  <c r="G23" i="2"/>
  <c r="D23" i="2"/>
  <c r="C23" i="2"/>
  <c r="A23" i="2"/>
  <c r="H22" i="2"/>
  <c r="B22" i="2"/>
  <c r="G22" i="2"/>
  <c r="D22" i="2"/>
  <c r="C22" i="2"/>
  <c r="A22" i="2"/>
  <c r="H21" i="2"/>
  <c r="G21" i="2"/>
  <c r="D21" i="2"/>
  <c r="C21" i="2"/>
  <c r="B21" i="2"/>
  <c r="A21" i="2"/>
  <c r="H20" i="2"/>
  <c r="G20" i="2"/>
  <c r="C20" i="2"/>
  <c r="D20" i="2"/>
  <c r="B20" i="2"/>
  <c r="A20" i="2"/>
  <c r="H19" i="2"/>
  <c r="B19" i="2"/>
  <c r="G19" i="2"/>
  <c r="D19" i="2"/>
  <c r="C19" i="2"/>
  <c r="A19" i="2"/>
  <c r="H18" i="2"/>
  <c r="B18" i="2"/>
  <c r="G18" i="2"/>
  <c r="D18" i="2"/>
  <c r="C18" i="2"/>
  <c r="A18" i="2"/>
  <c r="H17" i="2"/>
  <c r="G17" i="2"/>
  <c r="D17" i="2"/>
  <c r="C17" i="2"/>
  <c r="B17" i="2"/>
  <c r="A17" i="2"/>
  <c r="H16" i="2"/>
  <c r="G16" i="2"/>
  <c r="C16" i="2"/>
  <c r="D16" i="2"/>
  <c r="B16" i="2"/>
  <c r="A16" i="2"/>
  <c r="H15" i="2"/>
  <c r="B15" i="2"/>
  <c r="G15" i="2"/>
  <c r="C15" i="2"/>
  <c r="D15" i="2"/>
  <c r="A15" i="2"/>
  <c r="H14" i="2"/>
  <c r="B14" i="2"/>
  <c r="G14" i="2"/>
  <c r="D14" i="2"/>
  <c r="C14" i="2"/>
  <c r="A14" i="2"/>
  <c r="H13" i="2"/>
  <c r="G13" i="2"/>
  <c r="D13" i="2"/>
  <c r="C13" i="2"/>
  <c r="B13" i="2"/>
  <c r="A13" i="2"/>
  <c r="H12" i="2"/>
  <c r="G12" i="2"/>
  <c r="C12" i="2"/>
  <c r="D12" i="2"/>
  <c r="B12" i="2"/>
  <c r="A12" i="2"/>
  <c r="H11" i="2"/>
  <c r="B11" i="2"/>
  <c r="G11" i="2"/>
  <c r="C11" i="2"/>
  <c r="D11" i="2"/>
  <c r="A11" i="2"/>
  <c r="G11" i="1"/>
  <c r="Q40" i="1"/>
  <c r="E15" i="1"/>
  <c r="C17" i="1"/>
  <c r="Q39" i="1"/>
  <c r="C7" i="1"/>
  <c r="C8" i="1"/>
  <c r="Q21" i="1"/>
  <c r="E24" i="2"/>
  <c r="E17" i="2"/>
  <c r="G23" i="3"/>
  <c r="I23" i="3"/>
  <c r="E27" i="2"/>
  <c r="E18" i="2"/>
  <c r="E21" i="2"/>
  <c r="G40" i="1"/>
  <c r="K40" i="1"/>
  <c r="E38" i="1"/>
  <c r="F38" i="1"/>
  <c r="E30" i="1"/>
  <c r="F30" i="1"/>
  <c r="E35" i="1"/>
  <c r="F35" i="1"/>
  <c r="G35" i="1"/>
  <c r="I35" i="1"/>
  <c r="G29" i="1"/>
  <c r="I29" i="1"/>
  <c r="E27" i="1"/>
  <c r="F27" i="1"/>
  <c r="G27" i="1"/>
  <c r="I27" i="1"/>
  <c r="E22" i="1"/>
  <c r="F22" i="1"/>
  <c r="G22" i="1"/>
  <c r="G22" i="3"/>
  <c r="I22" i="3"/>
  <c r="E40" i="1"/>
  <c r="F40" i="1"/>
  <c r="E32" i="1"/>
  <c r="F32" i="1"/>
  <c r="G32" i="1"/>
  <c r="I32" i="1"/>
  <c r="E24" i="1"/>
  <c r="F24" i="1"/>
  <c r="G24" i="1"/>
  <c r="I24" i="1"/>
  <c r="G39" i="1"/>
  <c r="I39" i="1"/>
  <c r="E37" i="1"/>
  <c r="F37" i="1"/>
  <c r="G37" i="1"/>
  <c r="I37" i="1"/>
  <c r="E29" i="1"/>
  <c r="F29" i="1"/>
  <c r="E34" i="1"/>
  <c r="F34" i="1"/>
  <c r="G34" i="1"/>
  <c r="I34" i="1"/>
  <c r="E26" i="1"/>
  <c r="F26" i="1"/>
  <c r="G26" i="1"/>
  <c r="I26" i="1"/>
  <c r="E39" i="1"/>
  <c r="F39" i="1"/>
  <c r="E31" i="1"/>
  <c r="F31" i="1"/>
  <c r="G31" i="1"/>
  <c r="I31" i="1"/>
  <c r="E23" i="1"/>
  <c r="F23" i="1"/>
  <c r="G23" i="1"/>
  <c r="I23" i="1"/>
  <c r="G40" i="3"/>
  <c r="K40" i="3"/>
  <c r="G36" i="3"/>
  <c r="I36" i="3"/>
  <c r="G32" i="3"/>
  <c r="I32" i="3"/>
  <c r="G38" i="1"/>
  <c r="I38" i="1"/>
  <c r="E36" i="1"/>
  <c r="F36" i="1"/>
  <c r="G36" i="1"/>
  <c r="I36" i="1"/>
  <c r="G30" i="1"/>
  <c r="I30" i="1"/>
  <c r="E28" i="1"/>
  <c r="F28" i="1"/>
  <c r="G28" i="1"/>
  <c r="I28" i="1"/>
  <c r="G21" i="3"/>
  <c r="E40" i="3"/>
  <c r="F40" i="3"/>
  <c r="E36" i="3"/>
  <c r="F36" i="3"/>
  <c r="E32" i="3"/>
  <c r="F32" i="3"/>
  <c r="E28" i="3"/>
  <c r="F28" i="3"/>
  <c r="G28" i="3"/>
  <c r="I28" i="3"/>
  <c r="E24" i="3"/>
  <c r="F24" i="3"/>
  <c r="G24" i="3"/>
  <c r="I24" i="3"/>
  <c r="E21" i="1"/>
  <c r="F21" i="1"/>
  <c r="G21" i="1"/>
  <c r="H21" i="1"/>
  <c r="E33" i="1"/>
  <c r="F33" i="1"/>
  <c r="G33" i="1"/>
  <c r="I33" i="1"/>
  <c r="E25" i="1"/>
  <c r="F25" i="1"/>
  <c r="G25" i="1"/>
  <c r="I25" i="1"/>
  <c r="G39" i="3"/>
  <c r="I39" i="3"/>
  <c r="G35" i="3"/>
  <c r="I35" i="3"/>
  <c r="G31" i="3"/>
  <c r="I31" i="3"/>
  <c r="G27" i="3"/>
  <c r="I27" i="3"/>
  <c r="I22" i="1"/>
  <c r="E25" i="2"/>
  <c r="E20" i="2"/>
  <c r="E14" i="2"/>
  <c r="E26" i="2"/>
  <c r="E12" i="2"/>
  <c r="E16" i="2"/>
  <c r="E28" i="2"/>
  <c r="E29" i="2"/>
  <c r="H21" i="3"/>
  <c r="E13" i="2"/>
  <c r="E22" i="2"/>
  <c r="E23" i="2"/>
  <c r="E11" i="2"/>
  <c r="E19" i="2"/>
  <c r="E15" i="2"/>
  <c r="C11" i="3"/>
  <c r="C12" i="3"/>
  <c r="C12" i="1"/>
  <c r="C16" i="1" l="1"/>
  <c r="D18" i="1" s="1"/>
  <c r="C16" i="3"/>
  <c r="D18" i="3" s="1"/>
  <c r="O39" i="3"/>
  <c r="O40" i="3"/>
  <c r="C15" i="3"/>
  <c r="O26" i="3"/>
  <c r="O27" i="3"/>
  <c r="O34" i="3"/>
  <c r="O35" i="3"/>
  <c r="O21" i="3"/>
  <c r="O22" i="3"/>
  <c r="O32" i="3"/>
  <c r="O28" i="3"/>
  <c r="O29" i="3"/>
  <c r="O30" i="3"/>
  <c r="O36" i="3"/>
  <c r="O37" i="3"/>
  <c r="O38" i="3"/>
  <c r="O23" i="3"/>
  <c r="O25" i="3"/>
  <c r="O31" i="3"/>
  <c r="O24" i="3"/>
  <c r="O33" i="3"/>
  <c r="C11" i="1"/>
  <c r="O32" i="1" l="1"/>
  <c r="O33" i="1"/>
  <c r="O34" i="1"/>
  <c r="O26" i="1"/>
  <c r="O39" i="1"/>
  <c r="O40" i="1"/>
  <c r="C15" i="1"/>
  <c r="O27" i="1"/>
  <c r="O28" i="1"/>
  <c r="O35" i="1"/>
  <c r="O36" i="1"/>
  <c r="O25" i="1"/>
  <c r="O22" i="1"/>
  <c r="O23" i="1"/>
  <c r="O29" i="1"/>
  <c r="O30" i="1"/>
  <c r="O31" i="1"/>
  <c r="O37" i="1"/>
  <c r="O21" i="1"/>
  <c r="O38" i="1"/>
  <c r="O24" i="1"/>
  <c r="C18" i="3"/>
  <c r="F18" i="3"/>
  <c r="F19" i="3" s="1"/>
  <c r="C18" i="1" l="1"/>
  <c r="E16" i="1"/>
  <c r="E17" i="1" s="1"/>
</calcChain>
</file>

<file path=xl/sharedStrings.xml><?xml version="1.0" encoding="utf-8"?>
<sst xmlns="http://schemas.openxmlformats.org/spreadsheetml/2006/main" count="350" uniqueCount="125">
  <si>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</si>
  <si>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</si>
  <si>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</si>
  <si>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</si>
  <si>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</si>
  <si>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</si>
  <si>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</si>
  <si>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</si>
  <si>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</si>
  <si>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</si>
  <si>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</si>
  <si>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</si>
  <si>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</si>
  <si>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</si>
  <si>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</si>
  <si>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</si>
  <si>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</si>
  <si>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</si>
  <si>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</si>
  <si>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</si>
  <si>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</si>
  <si>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</si>
  <si>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</si>
  <si>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</si>
  <si>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</si>
  <si>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Diethelm R</t>
  </si>
  <si>
    <t>BBSAG Bull.118</t>
  </si>
  <si>
    <t>B</t>
  </si>
  <si>
    <t>II</t>
  </si>
  <si>
    <t># of data points:</t>
  </si>
  <si>
    <t>EB/SD</t>
  </si>
  <si>
    <t>V981 Aql / gsc 0486-4188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</si>
  <si>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</si>
  <si>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</si>
  <si>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</si>
  <si>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</si>
  <si>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</si>
  <si>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</si>
  <si>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</si>
  <si>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0074</t>
  </si>
  <si>
    <t>I</t>
  </si>
  <si>
    <t>CCD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</si>
  <si>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</si>
  <si>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</si>
  <si>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</si>
  <si>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</si>
  <si>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</si>
  <si>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</si>
  <si>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</si>
  <si>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</si>
  <si>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</si>
  <si>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</si>
  <si>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</si>
  <si>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</si>
  <si>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2437584.277 </t>
  </si>
  <si>
    <t> 11.10.1961 18:38 </t>
  </si>
  <si>
    <t> -0.029 </t>
  </si>
  <si>
    <t> K.Häußler </t>
  </si>
  <si>
    <t>BAVM 236 </t>
  </si>
  <si>
    <t>2438640.373 </t>
  </si>
  <si>
    <t> 01.09.1964 20:57 </t>
  </si>
  <si>
    <t> 0.032 </t>
  </si>
  <si>
    <t>2441517.436 </t>
  </si>
  <si>
    <t> 18.07.1972 22:27 </t>
  </si>
  <si>
    <t> -0.017 </t>
  </si>
  <si>
    <t>2441536.498 </t>
  </si>
  <si>
    <t> 06.08.1972 23:57 </t>
  </si>
  <si>
    <t> -0.002 </t>
  </si>
  <si>
    <t>2443078.243 </t>
  </si>
  <si>
    <t> 26.10.1976 17:49 </t>
  </si>
  <si>
    <t> 0.017 </t>
  </si>
  <si>
    <t>2444516.275 </t>
  </si>
  <si>
    <t> 03.10.1980 18:36 </t>
  </si>
  <si>
    <t> 0.022 </t>
  </si>
  <si>
    <t>2445193.44 </t>
  </si>
  <si>
    <t> 11.08.1982 22:33 </t>
  </si>
  <si>
    <t> -0.03 </t>
  </si>
  <si>
    <t>2445280.239 </t>
  </si>
  <si>
    <t> 06.11.1982 17:44 </t>
  </si>
  <si>
    <t> 0.001 </t>
  </si>
  <si>
    <t>2446595.526 </t>
  </si>
  <si>
    <t> 14.06.1986 00:37 </t>
  </si>
  <si>
    <t> 0.006 </t>
  </si>
  <si>
    <t>2446612.468 </t>
  </si>
  <si>
    <t> 30.06.1986 23:13 </t>
  </si>
  <si>
    <t> 0.018 </t>
  </si>
  <si>
    <t>2446613.484 </t>
  </si>
  <si>
    <t> 01.07.1986 23:36 </t>
  </si>
  <si>
    <t> -0.024 </t>
  </si>
  <si>
    <t>2446683.354 </t>
  </si>
  <si>
    <t> 09.09.1986 20:29 </t>
  </si>
  <si>
    <t> 0.008 </t>
  </si>
  <si>
    <t>2446976.458 </t>
  </si>
  <si>
    <t> 29.06.1987 22:59 </t>
  </si>
  <si>
    <t> 0.004 </t>
  </si>
  <si>
    <t>2447029.367 </t>
  </si>
  <si>
    <t> 21.08.1987 20:48 </t>
  </si>
  <si>
    <t> 0.005 </t>
  </si>
  <si>
    <t>2447030.401 </t>
  </si>
  <si>
    <t> 22.08.1987 21:37 </t>
  </si>
  <si>
    <t> -0.019 </t>
  </si>
  <si>
    <t>2447411.335 </t>
  </si>
  <si>
    <t> 06.09.1988 20:02 </t>
  </si>
  <si>
    <t>2448068.445 </t>
  </si>
  <si>
    <t> 25.06.1990 22:40 </t>
  </si>
  <si>
    <t> -0.021 </t>
  </si>
  <si>
    <t>2450988.431 </t>
  </si>
  <si>
    <t> 23.06.1998 22:20 </t>
  </si>
  <si>
    <t>E </t>
  </si>
  <si>
    <t>?</t>
  </si>
  <si>
    <t> R.Diethelm </t>
  </si>
  <si>
    <t> BBS 118 </t>
  </si>
  <si>
    <t>2452054.52060 </t>
  </si>
  <si>
    <t> 25.05.2001 00:29 </t>
  </si>
  <si>
    <t> -0.00029 </t>
  </si>
  <si>
    <t>C </t>
  </si>
  <si>
    <t>o</t>
  </si>
  <si>
    <t> P.Hájek </t>
  </si>
  <si>
    <t>OEJV 0074 </t>
  </si>
  <si>
    <t>s5</t>
  </si>
  <si>
    <t>s6</t>
  </si>
  <si>
    <t>s7</t>
  </si>
  <si>
    <t>Add cycle</t>
  </si>
  <si>
    <t>Old Cycle</t>
  </si>
  <si>
    <t>V0981 Aql / gsc 0486-4188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</si>
</sst>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8" fillId="0" borderId="0" xfId="0" applyFont="1" applyAlignment="1">
      <alignment horizontal="right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6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6" fillId="2" borderId="12" xfId="7" applyFill="1" applyBorder="1" applyAlignment="1" applyProtection="1">
      <alignment horizontal="right" vertical="top" wrapText="1"/>
    </xf>
    <xf numFmtId="0" fontId="17" fillId="3" borderId="0" xfId="0" applyFont="1" applyFill="1" applyAlignment="1"/>
    <xf numFmtId="0" fontId="12" fillId="0" borderId="0" xfId="0" applyFont="1" applyAlignment="1">
      <alignment horizontal="center" vertical="top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V0981 Aql - O-C Diagr.</a:t>
            </a:r>
          </a:p>
        </c:rich>
      </c:tx>
      <c:layout>
        <c:manualLayout>
          <c:xMode val="edge"/>
          <c:yMode val="edge"/>
          <c:x val="0.33057894622676298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89271622860867"/>
          <c:y val="0.14769252958613219"/>
          <c:w val="0.78305864122490121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9830.5</c:v>
                </c:pt>
                <c:pt idx="2">
                  <c:v>10767.5</c:v>
                </c:pt>
                <c:pt idx="3">
                  <c:v>13320.5</c:v>
                </c:pt>
                <c:pt idx="4">
                  <c:v>13337.5</c:v>
                </c:pt>
                <c:pt idx="5">
                  <c:v>14705.5</c:v>
                </c:pt>
                <c:pt idx="6">
                  <c:v>15981.5</c:v>
                </c:pt>
                <c:pt idx="7">
                  <c:v>16582.5</c:v>
                </c:pt>
                <c:pt idx="8">
                  <c:v>16659.5</c:v>
                </c:pt>
                <c:pt idx="9">
                  <c:v>17826.5</c:v>
                </c:pt>
                <c:pt idx="10">
                  <c:v>17841.5</c:v>
                </c:pt>
                <c:pt idx="11">
                  <c:v>17842.5</c:v>
                </c:pt>
                <c:pt idx="12">
                  <c:v>17904.5</c:v>
                </c:pt>
                <c:pt idx="13">
                  <c:v>18164.5</c:v>
                </c:pt>
                <c:pt idx="14">
                  <c:v>18211.5</c:v>
                </c:pt>
                <c:pt idx="15">
                  <c:v>18212.5</c:v>
                </c:pt>
                <c:pt idx="16">
                  <c:v>18550.5</c:v>
                </c:pt>
                <c:pt idx="17">
                  <c:v>19133.5</c:v>
                </c:pt>
                <c:pt idx="18">
                  <c:v>21724.5</c:v>
                </c:pt>
                <c:pt idx="19">
                  <c:v>22670.5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B3-44A2-82CA-19299220367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9830.5</c:v>
                </c:pt>
                <c:pt idx="2">
                  <c:v>10767.5</c:v>
                </c:pt>
                <c:pt idx="3">
                  <c:v>13320.5</c:v>
                </c:pt>
                <c:pt idx="4">
                  <c:v>13337.5</c:v>
                </c:pt>
                <c:pt idx="5">
                  <c:v>14705.5</c:v>
                </c:pt>
                <c:pt idx="6">
                  <c:v>15981.5</c:v>
                </c:pt>
                <c:pt idx="7">
                  <c:v>16582.5</c:v>
                </c:pt>
                <c:pt idx="8">
                  <c:v>16659.5</c:v>
                </c:pt>
                <c:pt idx="9">
                  <c:v>17826.5</c:v>
                </c:pt>
                <c:pt idx="10">
                  <c:v>17841.5</c:v>
                </c:pt>
                <c:pt idx="11">
                  <c:v>17842.5</c:v>
                </c:pt>
                <c:pt idx="12">
                  <c:v>17904.5</c:v>
                </c:pt>
                <c:pt idx="13">
                  <c:v>18164.5</c:v>
                </c:pt>
                <c:pt idx="14">
                  <c:v>18211.5</c:v>
                </c:pt>
                <c:pt idx="15">
                  <c:v>18212.5</c:v>
                </c:pt>
                <c:pt idx="16">
                  <c:v>18550.5</c:v>
                </c:pt>
                <c:pt idx="17">
                  <c:v>19133.5</c:v>
                </c:pt>
                <c:pt idx="18">
                  <c:v>21724.5</c:v>
                </c:pt>
                <c:pt idx="19">
                  <c:v>22670.5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0.62494000000151573</c:v>
                </c:pt>
                <c:pt idx="2">
                  <c:v>0.79690000000118744</c:v>
                </c:pt>
                <c:pt idx="3">
                  <c:v>0.83314000000245869</c:v>
                </c:pt>
                <c:pt idx="4">
                  <c:v>0.73750000000291038</c:v>
                </c:pt>
                <c:pt idx="5">
                  <c:v>0.85594000000855885</c:v>
                </c:pt>
                <c:pt idx="6">
                  <c:v>0.93802000000141561</c:v>
                </c:pt>
                <c:pt idx="7">
                  <c:v>0.82410000000527361</c:v>
                </c:pt>
                <c:pt idx="8">
                  <c:v>0.85026000000652857</c:v>
                </c:pt>
                <c:pt idx="9">
                  <c:v>1.0216199999995297</c:v>
                </c:pt>
                <c:pt idx="10">
                  <c:v>1.0598200000022189</c:v>
                </c:pt>
                <c:pt idx="11">
                  <c:v>0.94890000000305008</c:v>
                </c:pt>
                <c:pt idx="12">
                  <c:v>0.94986000000062631</c:v>
                </c:pt>
                <c:pt idx="13">
                  <c:v>1.0546600000016042</c:v>
                </c:pt>
                <c:pt idx="14">
                  <c:v>0.99842000000353437</c:v>
                </c:pt>
                <c:pt idx="15">
                  <c:v>0.9055000000007567</c:v>
                </c:pt>
                <c:pt idx="16">
                  <c:v>0.94054000000323867</c:v>
                </c:pt>
                <c:pt idx="17">
                  <c:v>1.0561799999995856</c:v>
                </c:pt>
                <c:pt idx="18">
                  <c:v>1.1924599999983911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B3-44A2-82CA-19299220367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9830.5</c:v>
                </c:pt>
                <c:pt idx="2">
                  <c:v>10767.5</c:v>
                </c:pt>
                <c:pt idx="3">
                  <c:v>13320.5</c:v>
                </c:pt>
                <c:pt idx="4">
                  <c:v>13337.5</c:v>
                </c:pt>
                <c:pt idx="5">
                  <c:v>14705.5</c:v>
                </c:pt>
                <c:pt idx="6">
                  <c:v>15981.5</c:v>
                </c:pt>
                <c:pt idx="7">
                  <c:v>16582.5</c:v>
                </c:pt>
                <c:pt idx="8">
                  <c:v>16659.5</c:v>
                </c:pt>
                <c:pt idx="9">
                  <c:v>17826.5</c:v>
                </c:pt>
                <c:pt idx="10">
                  <c:v>17841.5</c:v>
                </c:pt>
                <c:pt idx="11">
                  <c:v>17842.5</c:v>
                </c:pt>
                <c:pt idx="12">
                  <c:v>17904.5</c:v>
                </c:pt>
                <c:pt idx="13">
                  <c:v>18164.5</c:v>
                </c:pt>
                <c:pt idx="14">
                  <c:v>18211.5</c:v>
                </c:pt>
                <c:pt idx="15">
                  <c:v>18212.5</c:v>
                </c:pt>
                <c:pt idx="16">
                  <c:v>18550.5</c:v>
                </c:pt>
                <c:pt idx="17">
                  <c:v>19133.5</c:v>
                </c:pt>
                <c:pt idx="18">
                  <c:v>21724.5</c:v>
                </c:pt>
                <c:pt idx="19">
                  <c:v>22670.5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B3-44A2-82CA-19299220367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9830.5</c:v>
                </c:pt>
                <c:pt idx="2">
                  <c:v>10767.5</c:v>
                </c:pt>
                <c:pt idx="3">
                  <c:v>13320.5</c:v>
                </c:pt>
                <c:pt idx="4">
                  <c:v>13337.5</c:v>
                </c:pt>
                <c:pt idx="5">
                  <c:v>14705.5</c:v>
                </c:pt>
                <c:pt idx="6">
                  <c:v>15981.5</c:v>
                </c:pt>
                <c:pt idx="7">
                  <c:v>16582.5</c:v>
                </c:pt>
                <c:pt idx="8">
                  <c:v>16659.5</c:v>
                </c:pt>
                <c:pt idx="9">
                  <c:v>17826.5</c:v>
                </c:pt>
                <c:pt idx="10">
                  <c:v>17841.5</c:v>
                </c:pt>
                <c:pt idx="11">
                  <c:v>17842.5</c:v>
                </c:pt>
                <c:pt idx="12">
                  <c:v>17904.5</c:v>
                </c:pt>
                <c:pt idx="13">
                  <c:v>18164.5</c:v>
                </c:pt>
                <c:pt idx="14">
                  <c:v>18211.5</c:v>
                </c:pt>
                <c:pt idx="15">
                  <c:v>18212.5</c:v>
                </c:pt>
                <c:pt idx="16">
                  <c:v>18550.5</c:v>
                </c:pt>
                <c:pt idx="17">
                  <c:v>19133.5</c:v>
                </c:pt>
                <c:pt idx="18">
                  <c:v>21724.5</c:v>
                </c:pt>
                <c:pt idx="19">
                  <c:v>22670.5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9">
                  <c:v>1.2157399999996414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B3-44A2-82CA-19299220367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9830.5</c:v>
                </c:pt>
                <c:pt idx="2">
                  <c:v>10767.5</c:v>
                </c:pt>
                <c:pt idx="3">
                  <c:v>13320.5</c:v>
                </c:pt>
                <c:pt idx="4">
                  <c:v>13337.5</c:v>
                </c:pt>
                <c:pt idx="5">
                  <c:v>14705.5</c:v>
                </c:pt>
                <c:pt idx="6">
                  <c:v>15981.5</c:v>
                </c:pt>
                <c:pt idx="7">
                  <c:v>16582.5</c:v>
                </c:pt>
                <c:pt idx="8">
                  <c:v>16659.5</c:v>
                </c:pt>
                <c:pt idx="9">
                  <c:v>17826.5</c:v>
                </c:pt>
                <c:pt idx="10">
                  <c:v>17841.5</c:v>
                </c:pt>
                <c:pt idx="11">
                  <c:v>17842.5</c:v>
                </c:pt>
                <c:pt idx="12">
                  <c:v>17904.5</c:v>
                </c:pt>
                <c:pt idx="13">
                  <c:v>18164.5</c:v>
                </c:pt>
                <c:pt idx="14">
                  <c:v>18211.5</c:v>
                </c:pt>
                <c:pt idx="15">
                  <c:v>18212.5</c:v>
                </c:pt>
                <c:pt idx="16">
                  <c:v>18550.5</c:v>
                </c:pt>
                <c:pt idx="17">
                  <c:v>19133.5</c:v>
                </c:pt>
                <c:pt idx="18">
                  <c:v>21724.5</c:v>
                </c:pt>
                <c:pt idx="19">
                  <c:v>22670.5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B3-44A2-82CA-19299220367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9830.5</c:v>
                </c:pt>
                <c:pt idx="2">
                  <c:v>10767.5</c:v>
                </c:pt>
                <c:pt idx="3">
                  <c:v>13320.5</c:v>
                </c:pt>
                <c:pt idx="4">
                  <c:v>13337.5</c:v>
                </c:pt>
                <c:pt idx="5">
                  <c:v>14705.5</c:v>
                </c:pt>
                <c:pt idx="6">
                  <c:v>15981.5</c:v>
                </c:pt>
                <c:pt idx="7">
                  <c:v>16582.5</c:v>
                </c:pt>
                <c:pt idx="8">
                  <c:v>16659.5</c:v>
                </c:pt>
                <c:pt idx="9">
                  <c:v>17826.5</c:v>
                </c:pt>
                <c:pt idx="10">
                  <c:v>17841.5</c:v>
                </c:pt>
                <c:pt idx="11">
                  <c:v>17842.5</c:v>
                </c:pt>
                <c:pt idx="12">
                  <c:v>17904.5</c:v>
                </c:pt>
                <c:pt idx="13">
                  <c:v>18164.5</c:v>
                </c:pt>
                <c:pt idx="14">
                  <c:v>18211.5</c:v>
                </c:pt>
                <c:pt idx="15">
                  <c:v>18212.5</c:v>
                </c:pt>
                <c:pt idx="16">
                  <c:v>18550.5</c:v>
                </c:pt>
                <c:pt idx="17">
                  <c:v>19133.5</c:v>
                </c:pt>
                <c:pt idx="18">
                  <c:v>21724.5</c:v>
                </c:pt>
                <c:pt idx="19">
                  <c:v>22670.5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B3-44A2-82CA-19299220367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9830.5</c:v>
                </c:pt>
                <c:pt idx="2">
                  <c:v>10767.5</c:v>
                </c:pt>
                <c:pt idx="3">
                  <c:v>13320.5</c:v>
                </c:pt>
                <c:pt idx="4">
                  <c:v>13337.5</c:v>
                </c:pt>
                <c:pt idx="5">
                  <c:v>14705.5</c:v>
                </c:pt>
                <c:pt idx="6">
                  <c:v>15981.5</c:v>
                </c:pt>
                <c:pt idx="7">
                  <c:v>16582.5</c:v>
                </c:pt>
                <c:pt idx="8">
                  <c:v>16659.5</c:v>
                </c:pt>
                <c:pt idx="9">
                  <c:v>17826.5</c:v>
                </c:pt>
                <c:pt idx="10">
                  <c:v>17841.5</c:v>
                </c:pt>
                <c:pt idx="11">
                  <c:v>17842.5</c:v>
                </c:pt>
                <c:pt idx="12">
                  <c:v>17904.5</c:v>
                </c:pt>
                <c:pt idx="13">
                  <c:v>18164.5</c:v>
                </c:pt>
                <c:pt idx="14">
                  <c:v>18211.5</c:v>
                </c:pt>
                <c:pt idx="15">
                  <c:v>18212.5</c:v>
                </c:pt>
                <c:pt idx="16">
                  <c:v>18550.5</c:v>
                </c:pt>
                <c:pt idx="17">
                  <c:v>19133.5</c:v>
                </c:pt>
                <c:pt idx="18">
                  <c:v>21724.5</c:v>
                </c:pt>
                <c:pt idx="19">
                  <c:v>22670.5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1B3-44A2-82CA-19299220367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9830.5</c:v>
                </c:pt>
                <c:pt idx="2">
                  <c:v>10767.5</c:v>
                </c:pt>
                <c:pt idx="3">
                  <c:v>13320.5</c:v>
                </c:pt>
                <c:pt idx="4">
                  <c:v>13337.5</c:v>
                </c:pt>
                <c:pt idx="5">
                  <c:v>14705.5</c:v>
                </c:pt>
                <c:pt idx="6">
                  <c:v>15981.5</c:v>
                </c:pt>
                <c:pt idx="7">
                  <c:v>16582.5</c:v>
                </c:pt>
                <c:pt idx="8">
                  <c:v>16659.5</c:v>
                </c:pt>
                <c:pt idx="9">
                  <c:v>17826.5</c:v>
                </c:pt>
                <c:pt idx="10">
                  <c:v>17841.5</c:v>
                </c:pt>
                <c:pt idx="11">
                  <c:v>17842.5</c:v>
                </c:pt>
                <c:pt idx="12">
                  <c:v>17904.5</c:v>
                </c:pt>
                <c:pt idx="13">
                  <c:v>18164.5</c:v>
                </c:pt>
                <c:pt idx="14">
                  <c:v>18211.5</c:v>
                </c:pt>
                <c:pt idx="15">
                  <c:v>18212.5</c:v>
                </c:pt>
                <c:pt idx="16">
                  <c:v>18550.5</c:v>
                </c:pt>
                <c:pt idx="17">
                  <c:v>19133.5</c:v>
                </c:pt>
                <c:pt idx="18">
                  <c:v>21724.5</c:v>
                </c:pt>
                <c:pt idx="19">
                  <c:v>22670.5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9.6829921902245708E-2</c:v>
                </c:pt>
                <c:pt idx="1">
                  <c:v>0.58541521888741521</c:v>
                </c:pt>
                <c:pt idx="2">
                  <c:v>0.6319850193324692</c:v>
                </c:pt>
                <c:pt idx="3">
                  <c:v>0.75887157273292061</c:v>
                </c:pt>
                <c:pt idx="4">
                  <c:v>0.7597164890697039</c:v>
                </c:pt>
                <c:pt idx="5">
                  <c:v>0.82770740370026308</c:v>
                </c:pt>
                <c:pt idx="6">
                  <c:v>0.89112582991999523</c:v>
                </c:pt>
                <c:pt idx="7">
                  <c:v>0.92099610747333294</c:v>
                </c:pt>
                <c:pt idx="8">
                  <c:v>0.92482308146935122</c:v>
                </c:pt>
                <c:pt idx="9">
                  <c:v>0.98282410294147304</c:v>
                </c:pt>
                <c:pt idx="10">
                  <c:v>0.98356961735628179</c:v>
                </c:pt>
                <c:pt idx="11">
                  <c:v>0.98361931831726901</c:v>
                </c:pt>
                <c:pt idx="12">
                  <c:v>0.98670077789847854</c:v>
                </c:pt>
                <c:pt idx="13">
                  <c:v>0.99962302775516376</c:v>
                </c:pt>
                <c:pt idx="14">
                  <c:v>1.0019589729215646</c:v>
                </c:pt>
                <c:pt idx="15">
                  <c:v>1.0020086738825518</c:v>
                </c:pt>
                <c:pt idx="16">
                  <c:v>1.0188075986962426</c:v>
                </c:pt>
                <c:pt idx="17">
                  <c:v>1.0477832589518099</c:v>
                </c:pt>
                <c:pt idx="18">
                  <c:v>1.1765584488697769</c:v>
                </c:pt>
                <c:pt idx="19">
                  <c:v>1.2235755579637162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B3-44A2-82CA-192992203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957952"/>
        <c:axId val="1"/>
      </c:scatterChart>
      <c:valAx>
        <c:axId val="574957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46324374742414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957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09939046875338"/>
          <c:y val="0.92000129214617399"/>
          <c:w val="0.8388438428667490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V981 Aql - O-C Diagr.</a:t>
            </a:r>
          </a:p>
        </c:rich>
      </c:tx>
      <c:layout>
        <c:manualLayout>
          <c:xMode val="edge"/>
          <c:yMode val="edge"/>
          <c:x val="0.33057894622676298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23974633561702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10470</c:v>
                </c:pt>
                <c:pt idx="2">
                  <c:v>11468</c:v>
                </c:pt>
                <c:pt idx="3">
                  <c:v>14187</c:v>
                </c:pt>
                <c:pt idx="4">
                  <c:v>14205</c:v>
                </c:pt>
                <c:pt idx="5">
                  <c:v>15662</c:v>
                </c:pt>
                <c:pt idx="6">
                  <c:v>17021</c:v>
                </c:pt>
                <c:pt idx="7">
                  <c:v>17661</c:v>
                </c:pt>
                <c:pt idx="8">
                  <c:v>17743</c:v>
                </c:pt>
                <c:pt idx="9">
                  <c:v>18986</c:v>
                </c:pt>
                <c:pt idx="10">
                  <c:v>19002</c:v>
                </c:pt>
                <c:pt idx="11">
                  <c:v>19003</c:v>
                </c:pt>
                <c:pt idx="12">
                  <c:v>19069</c:v>
                </c:pt>
                <c:pt idx="13">
                  <c:v>19346</c:v>
                </c:pt>
                <c:pt idx="14">
                  <c:v>19396</c:v>
                </c:pt>
                <c:pt idx="15">
                  <c:v>19397</c:v>
                </c:pt>
                <c:pt idx="16">
                  <c:v>19757</c:v>
                </c:pt>
                <c:pt idx="17">
                  <c:v>20378</c:v>
                </c:pt>
                <c:pt idx="18">
                  <c:v>23137.5</c:v>
                </c:pt>
                <c:pt idx="19">
                  <c:v>24145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9D-4EEC-8687-8CFDE2970CDD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10470</c:v>
                </c:pt>
                <c:pt idx="2">
                  <c:v>11468</c:v>
                </c:pt>
                <c:pt idx="3">
                  <c:v>14187</c:v>
                </c:pt>
                <c:pt idx="4">
                  <c:v>14205</c:v>
                </c:pt>
                <c:pt idx="5">
                  <c:v>15662</c:v>
                </c:pt>
                <c:pt idx="6">
                  <c:v>17021</c:v>
                </c:pt>
                <c:pt idx="7">
                  <c:v>17661</c:v>
                </c:pt>
                <c:pt idx="8">
                  <c:v>17743</c:v>
                </c:pt>
                <c:pt idx="9">
                  <c:v>18986</c:v>
                </c:pt>
                <c:pt idx="10">
                  <c:v>19002</c:v>
                </c:pt>
                <c:pt idx="11">
                  <c:v>19003</c:v>
                </c:pt>
                <c:pt idx="12">
                  <c:v>19069</c:v>
                </c:pt>
                <c:pt idx="13">
                  <c:v>19346</c:v>
                </c:pt>
                <c:pt idx="14">
                  <c:v>19396</c:v>
                </c:pt>
                <c:pt idx="15">
                  <c:v>19397</c:v>
                </c:pt>
                <c:pt idx="16">
                  <c:v>19757</c:v>
                </c:pt>
                <c:pt idx="17">
                  <c:v>20378</c:v>
                </c:pt>
                <c:pt idx="18">
                  <c:v>23137.5</c:v>
                </c:pt>
                <c:pt idx="19">
                  <c:v>24145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-2.8969999999389984E-2</c:v>
                </c:pt>
                <c:pt idx="2">
                  <c:v>3.233199999522185E-2</c:v>
                </c:pt>
                <c:pt idx="3">
                  <c:v>-1.7237000000022817E-2</c:v>
                </c:pt>
                <c:pt idx="4">
                  <c:v>-1.9549999997252598E-3</c:v>
                </c:pt>
                <c:pt idx="5">
                  <c:v>1.7038000005413778E-2</c:v>
                </c:pt>
                <c:pt idx="6">
                  <c:v>2.1828999997524079E-2</c:v>
                </c:pt>
                <c:pt idx="7">
                  <c:v>-2.9811000000336207E-2</c:v>
                </c:pt>
                <c:pt idx="8">
                  <c:v>8.0700000398792326E-4</c:v>
                </c:pt>
                <c:pt idx="9">
                  <c:v>6.1139999961596914E-3</c:v>
                </c:pt>
                <c:pt idx="10">
                  <c:v>1.7698000003292691E-2</c:v>
                </c:pt>
                <c:pt idx="11">
                  <c:v>-2.4453000005451031E-2</c:v>
                </c:pt>
                <c:pt idx="12">
                  <c:v>7.5809999980265275E-3</c:v>
                </c:pt>
                <c:pt idx="13">
                  <c:v>3.7539999975706451E-3</c:v>
                </c:pt>
                <c:pt idx="14">
                  <c:v>5.2040000009583309E-3</c:v>
                </c:pt>
                <c:pt idx="15">
                  <c:v>-1.8947000004118308E-2</c:v>
                </c:pt>
                <c:pt idx="16">
                  <c:v>-1.9307000002299901E-2</c:v>
                </c:pt>
                <c:pt idx="17">
                  <c:v>-2.1077999997942243E-2</c:v>
                </c:pt>
                <c:pt idx="18">
                  <c:v>-2.7625000075204298E-3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9D-4EEC-8687-8CFDE2970CDD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10470</c:v>
                </c:pt>
                <c:pt idx="2">
                  <c:v>11468</c:v>
                </c:pt>
                <c:pt idx="3">
                  <c:v>14187</c:v>
                </c:pt>
                <c:pt idx="4">
                  <c:v>14205</c:v>
                </c:pt>
                <c:pt idx="5">
                  <c:v>15662</c:v>
                </c:pt>
                <c:pt idx="6">
                  <c:v>17021</c:v>
                </c:pt>
                <c:pt idx="7">
                  <c:v>17661</c:v>
                </c:pt>
                <c:pt idx="8">
                  <c:v>17743</c:v>
                </c:pt>
                <c:pt idx="9">
                  <c:v>18986</c:v>
                </c:pt>
                <c:pt idx="10">
                  <c:v>19002</c:v>
                </c:pt>
                <c:pt idx="11">
                  <c:v>19003</c:v>
                </c:pt>
                <c:pt idx="12">
                  <c:v>19069</c:v>
                </c:pt>
                <c:pt idx="13">
                  <c:v>19346</c:v>
                </c:pt>
                <c:pt idx="14">
                  <c:v>19396</c:v>
                </c:pt>
                <c:pt idx="15">
                  <c:v>19397</c:v>
                </c:pt>
                <c:pt idx="16">
                  <c:v>19757</c:v>
                </c:pt>
                <c:pt idx="17">
                  <c:v>20378</c:v>
                </c:pt>
                <c:pt idx="18">
                  <c:v>23137.5</c:v>
                </c:pt>
                <c:pt idx="19">
                  <c:v>24145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9D-4EEC-8687-8CFDE2970CDD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10470</c:v>
                </c:pt>
                <c:pt idx="2">
                  <c:v>11468</c:v>
                </c:pt>
                <c:pt idx="3">
                  <c:v>14187</c:v>
                </c:pt>
                <c:pt idx="4">
                  <c:v>14205</c:v>
                </c:pt>
                <c:pt idx="5">
                  <c:v>15662</c:v>
                </c:pt>
                <c:pt idx="6">
                  <c:v>17021</c:v>
                </c:pt>
                <c:pt idx="7">
                  <c:v>17661</c:v>
                </c:pt>
                <c:pt idx="8">
                  <c:v>17743</c:v>
                </c:pt>
                <c:pt idx="9">
                  <c:v>18986</c:v>
                </c:pt>
                <c:pt idx="10">
                  <c:v>19002</c:v>
                </c:pt>
                <c:pt idx="11">
                  <c:v>19003</c:v>
                </c:pt>
                <c:pt idx="12">
                  <c:v>19069</c:v>
                </c:pt>
                <c:pt idx="13">
                  <c:v>19346</c:v>
                </c:pt>
                <c:pt idx="14">
                  <c:v>19396</c:v>
                </c:pt>
                <c:pt idx="15">
                  <c:v>19397</c:v>
                </c:pt>
                <c:pt idx="16">
                  <c:v>19757</c:v>
                </c:pt>
                <c:pt idx="17">
                  <c:v>20378</c:v>
                </c:pt>
                <c:pt idx="18">
                  <c:v>23137.5</c:v>
                </c:pt>
                <c:pt idx="19">
                  <c:v>24145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  <c:pt idx="19">
                  <c:v>-2.9499999800464138E-4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9D-4EEC-8687-8CFDE2970CDD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10470</c:v>
                </c:pt>
                <c:pt idx="2">
                  <c:v>11468</c:v>
                </c:pt>
                <c:pt idx="3">
                  <c:v>14187</c:v>
                </c:pt>
                <c:pt idx="4">
                  <c:v>14205</c:v>
                </c:pt>
                <c:pt idx="5">
                  <c:v>15662</c:v>
                </c:pt>
                <c:pt idx="6">
                  <c:v>17021</c:v>
                </c:pt>
                <c:pt idx="7">
                  <c:v>17661</c:v>
                </c:pt>
                <c:pt idx="8">
                  <c:v>17743</c:v>
                </c:pt>
                <c:pt idx="9">
                  <c:v>18986</c:v>
                </c:pt>
                <c:pt idx="10">
                  <c:v>19002</c:v>
                </c:pt>
                <c:pt idx="11">
                  <c:v>19003</c:v>
                </c:pt>
                <c:pt idx="12">
                  <c:v>19069</c:v>
                </c:pt>
                <c:pt idx="13">
                  <c:v>19346</c:v>
                </c:pt>
                <c:pt idx="14">
                  <c:v>19396</c:v>
                </c:pt>
                <c:pt idx="15">
                  <c:v>19397</c:v>
                </c:pt>
                <c:pt idx="16">
                  <c:v>19757</c:v>
                </c:pt>
                <c:pt idx="17">
                  <c:v>20378</c:v>
                </c:pt>
                <c:pt idx="18">
                  <c:v>23137.5</c:v>
                </c:pt>
                <c:pt idx="19">
                  <c:v>24145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9D-4EEC-8687-8CFDE2970CDD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10470</c:v>
                </c:pt>
                <c:pt idx="2">
                  <c:v>11468</c:v>
                </c:pt>
                <c:pt idx="3">
                  <c:v>14187</c:v>
                </c:pt>
                <c:pt idx="4">
                  <c:v>14205</c:v>
                </c:pt>
                <c:pt idx="5">
                  <c:v>15662</c:v>
                </c:pt>
                <c:pt idx="6">
                  <c:v>17021</c:v>
                </c:pt>
                <c:pt idx="7">
                  <c:v>17661</c:v>
                </c:pt>
                <c:pt idx="8">
                  <c:v>17743</c:v>
                </c:pt>
                <c:pt idx="9">
                  <c:v>18986</c:v>
                </c:pt>
                <c:pt idx="10">
                  <c:v>19002</c:v>
                </c:pt>
                <c:pt idx="11">
                  <c:v>19003</c:v>
                </c:pt>
                <c:pt idx="12">
                  <c:v>19069</c:v>
                </c:pt>
                <c:pt idx="13">
                  <c:v>19346</c:v>
                </c:pt>
                <c:pt idx="14">
                  <c:v>19396</c:v>
                </c:pt>
                <c:pt idx="15">
                  <c:v>19397</c:v>
                </c:pt>
                <c:pt idx="16">
                  <c:v>19757</c:v>
                </c:pt>
                <c:pt idx="17">
                  <c:v>20378</c:v>
                </c:pt>
                <c:pt idx="18">
                  <c:v>23137.5</c:v>
                </c:pt>
                <c:pt idx="19">
                  <c:v>24145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9D-4EEC-8687-8CFDE2970CDD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10470</c:v>
                </c:pt>
                <c:pt idx="2">
                  <c:v>11468</c:v>
                </c:pt>
                <c:pt idx="3">
                  <c:v>14187</c:v>
                </c:pt>
                <c:pt idx="4">
                  <c:v>14205</c:v>
                </c:pt>
                <c:pt idx="5">
                  <c:v>15662</c:v>
                </c:pt>
                <c:pt idx="6">
                  <c:v>17021</c:v>
                </c:pt>
                <c:pt idx="7">
                  <c:v>17661</c:v>
                </c:pt>
                <c:pt idx="8">
                  <c:v>17743</c:v>
                </c:pt>
                <c:pt idx="9">
                  <c:v>18986</c:v>
                </c:pt>
                <c:pt idx="10">
                  <c:v>19002</c:v>
                </c:pt>
                <c:pt idx="11">
                  <c:v>19003</c:v>
                </c:pt>
                <c:pt idx="12">
                  <c:v>19069</c:v>
                </c:pt>
                <c:pt idx="13">
                  <c:v>19346</c:v>
                </c:pt>
                <c:pt idx="14">
                  <c:v>19396</c:v>
                </c:pt>
                <c:pt idx="15">
                  <c:v>19397</c:v>
                </c:pt>
                <c:pt idx="16">
                  <c:v>19757</c:v>
                </c:pt>
                <c:pt idx="17">
                  <c:v>20378</c:v>
                </c:pt>
                <c:pt idx="18">
                  <c:v>23137.5</c:v>
                </c:pt>
                <c:pt idx="19">
                  <c:v>24145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D9D-4EEC-8687-8CFDE2970CDD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10470</c:v>
                </c:pt>
                <c:pt idx="2">
                  <c:v>11468</c:v>
                </c:pt>
                <c:pt idx="3">
                  <c:v>14187</c:v>
                </c:pt>
                <c:pt idx="4">
                  <c:v>14205</c:v>
                </c:pt>
                <c:pt idx="5">
                  <c:v>15662</c:v>
                </c:pt>
                <c:pt idx="6">
                  <c:v>17021</c:v>
                </c:pt>
                <c:pt idx="7">
                  <c:v>17661</c:v>
                </c:pt>
                <c:pt idx="8">
                  <c:v>17743</c:v>
                </c:pt>
                <c:pt idx="9">
                  <c:v>18986</c:v>
                </c:pt>
                <c:pt idx="10">
                  <c:v>19002</c:v>
                </c:pt>
                <c:pt idx="11">
                  <c:v>19003</c:v>
                </c:pt>
                <c:pt idx="12">
                  <c:v>19069</c:v>
                </c:pt>
                <c:pt idx="13">
                  <c:v>19346</c:v>
                </c:pt>
                <c:pt idx="14">
                  <c:v>19396</c:v>
                </c:pt>
                <c:pt idx="15">
                  <c:v>19397</c:v>
                </c:pt>
                <c:pt idx="16">
                  <c:v>19757</c:v>
                </c:pt>
                <c:pt idx="17">
                  <c:v>20378</c:v>
                </c:pt>
                <c:pt idx="18">
                  <c:v>23137.5</c:v>
                </c:pt>
                <c:pt idx="19">
                  <c:v>24145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4.1116818638643471E-3</c:v>
                </c:pt>
                <c:pt idx="1">
                  <c:v>9.0968115504507299E-5</c:v>
                </c:pt>
                <c:pt idx="2">
                  <c:v>-2.9228616538022265E-4</c:v>
                </c:pt>
                <c:pt idx="3">
                  <c:v>-1.3364428685120663E-3</c:v>
                </c:pt>
                <c:pt idx="4">
                  <c:v>-1.3433552703717103E-3</c:v>
                </c:pt>
                <c:pt idx="5">
                  <c:v>-1.9028757986773734E-3</c:v>
                </c:pt>
                <c:pt idx="6">
                  <c:v>-2.4247621390805271E-3</c:v>
                </c:pt>
                <c:pt idx="7">
                  <c:v>-2.6705364274234398E-3</c:v>
                </c:pt>
                <c:pt idx="8">
                  <c:v>-2.7020262581173753E-3</c:v>
                </c:pt>
                <c:pt idx="9">
                  <c:v>-3.1793660087583763E-3</c:v>
                </c:pt>
                <c:pt idx="10">
                  <c:v>-3.1855103659669494E-3</c:v>
                </c:pt>
                <c:pt idx="11">
                  <c:v>-3.1858943882924857E-3</c:v>
                </c:pt>
                <c:pt idx="12">
                  <c:v>-3.2112398617778481E-3</c:v>
                </c:pt>
                <c:pt idx="13">
                  <c:v>-3.3176140459512653E-3</c:v>
                </c:pt>
                <c:pt idx="14">
                  <c:v>-3.3368151622280556E-3</c:v>
                </c:pt>
                <c:pt idx="15">
                  <c:v>-3.3371991845535911E-3</c:v>
                </c:pt>
                <c:pt idx="16">
                  <c:v>-3.4754472217464792E-3</c:v>
                </c:pt>
                <c:pt idx="17">
                  <c:v>-3.7139250859042124E-3</c:v>
                </c:pt>
                <c:pt idx="18">
                  <c:v>-4.7736346932202561E-3</c:v>
                </c:pt>
                <c:pt idx="19">
                  <c:v>-5.1605371861975762E-3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D9D-4EEC-8687-8CFDE2970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960832"/>
        <c:axId val="1"/>
      </c:scatterChart>
      <c:valAx>
        <c:axId val="574960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960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3842996898115006"/>
          <c:y val="0.91874999999999996"/>
          <c:w val="0.97727381184789919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1047749</xdr:colOff>
      <xdr:row>0</xdr:row>
      <xdr:rowOff>0</xdr:rowOff>
    </xdr:from>
    <xdr:to>
      <xdr:col>17</xdr:col>
      <xdr:colOff>228599</xdr:colOff>
      <xdr:row>18</xdr:row>
      <xdr:rowOff>152400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748061FB-61B3-6376-E58A-6F6A87E53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0</xdr:rowOff>
    </xdr:from>
    <xdr:to>
      <xdr:col>13</xdr:col>
      <xdr:colOff>66675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A04B5F6-9262-077E-AA72-0C7B61DD24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6" TargetMode="External"/><Relationship Id="rId13" Type="http://schemas.openxmlformats.org/officeDocument/2006/relationships/hyperlink" Target="http://www.bav-astro.de/sfs/BAVM_link.php?BAVMnr=236" TargetMode="External"/><Relationship Id="rId18" Type="http://schemas.openxmlformats.org/officeDocument/2006/relationships/hyperlink" Target="http://www.bav-astro.de/sfs/BAVM_link.php?BAVMnr=236" TargetMode="External"/><Relationship Id="rId3" Type="http://schemas.openxmlformats.org/officeDocument/2006/relationships/hyperlink" Target="http://www.bav-astro.de/sfs/BAVM_link.php?BAVMnr=236" TargetMode="External"/><Relationship Id="rId7" Type="http://schemas.openxmlformats.org/officeDocument/2006/relationships/hyperlink" Target="http://www.bav-astro.de/sfs/BAVM_link.php?BAVMnr=236" TargetMode="External"/><Relationship Id="rId12" Type="http://schemas.openxmlformats.org/officeDocument/2006/relationships/hyperlink" Target="http://www.bav-astro.de/sfs/BAVM_link.php?BAVMnr=236" TargetMode="External"/><Relationship Id="rId17" Type="http://schemas.openxmlformats.org/officeDocument/2006/relationships/hyperlink" Target="http://www.bav-astro.de/sfs/BAVM_link.php?BAVMnr=236" TargetMode="External"/><Relationship Id="rId2" Type="http://schemas.openxmlformats.org/officeDocument/2006/relationships/hyperlink" Target="http://www.bav-astro.de/sfs/BAVM_link.php?BAVMnr=236" TargetMode="External"/><Relationship Id="rId16" Type="http://schemas.openxmlformats.org/officeDocument/2006/relationships/hyperlink" Target="http://www.bav-astro.de/sfs/BAVM_link.php?BAVMnr=236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36" TargetMode="External"/><Relationship Id="rId11" Type="http://schemas.openxmlformats.org/officeDocument/2006/relationships/hyperlink" Target="http://www.bav-astro.de/sfs/BAVM_link.php?BAVMnr=236" TargetMode="External"/><Relationship Id="rId5" Type="http://schemas.openxmlformats.org/officeDocument/2006/relationships/hyperlink" Target="http://www.bav-astro.de/sfs/BAVM_link.php?BAVMnr=236" TargetMode="External"/><Relationship Id="rId15" Type="http://schemas.openxmlformats.org/officeDocument/2006/relationships/hyperlink" Target="http://www.bav-astro.de/sfs/BAVM_link.php?BAVMnr=236" TargetMode="External"/><Relationship Id="rId10" Type="http://schemas.openxmlformats.org/officeDocument/2006/relationships/hyperlink" Target="http://www.bav-astro.de/sfs/BAVM_link.php?BAVMnr=236" TargetMode="External"/><Relationship Id="rId19" Type="http://schemas.openxmlformats.org/officeDocument/2006/relationships/hyperlink" Target="http://var.astro.cz/oejv/issues/oejv0074.pdf" TargetMode="External"/><Relationship Id="rId4" Type="http://schemas.openxmlformats.org/officeDocument/2006/relationships/hyperlink" Target="http://www.bav-astro.de/sfs/BAVM_link.php?BAVMnr=236" TargetMode="External"/><Relationship Id="rId9" Type="http://schemas.openxmlformats.org/officeDocument/2006/relationships/hyperlink" Target="http://www.bav-astro.de/sfs/BAVM_link.php?BAVMnr=236" TargetMode="External"/><Relationship Id="rId14" Type="http://schemas.openxmlformats.org/officeDocument/2006/relationships/hyperlink" Target="http://www.bav-astro.de/sfs/BAVM_link.php?BAVMnr=236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E4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.425781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124</v>
      </c>
    </row>
    <row r="2" spans="1:6" x14ac:dyDescent="0.2">
      <c r="A2" t="s">
        <v>24</v>
      </c>
      <c r="B2" s="10" t="s">
        <v>30</v>
      </c>
    </row>
    <row r="4" spans="1:6" ht="14.25" thickTop="1" thickBot="1" x14ac:dyDescent="0.25">
      <c r="A4" s="7" t="s">
        <v>0</v>
      </c>
      <c r="C4" s="3">
        <v>26505.465</v>
      </c>
      <c r="D4" s="4">
        <v>1.0581510000000001</v>
      </c>
    </row>
    <row r="5" spans="1:6" ht="13.5" thickTop="1" x14ac:dyDescent="0.2">
      <c r="A5" s="11" t="s">
        <v>32</v>
      </c>
      <c r="B5" s="12"/>
      <c r="C5" s="13">
        <v>-9.5</v>
      </c>
      <c r="D5" s="12" t="s">
        <v>33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26505.465</v>
      </c>
    </row>
    <row r="8" spans="1:6" x14ac:dyDescent="0.2">
      <c r="A8" t="s">
        <v>3</v>
      </c>
      <c r="C8">
        <v>1.1269199999999999</v>
      </c>
    </row>
    <row r="9" spans="1:6" x14ac:dyDescent="0.2">
      <c r="A9" s="27" t="s">
        <v>38</v>
      </c>
      <c r="B9" s="28">
        <v>21</v>
      </c>
      <c r="C9" s="15" t="str">
        <f>"F"&amp;B9</f>
        <v>F21</v>
      </c>
      <c r="D9" s="16" t="str">
        <f>"G"&amp;B9</f>
        <v>G21</v>
      </c>
    </row>
    <row r="10" spans="1:6" ht="13.5" thickBot="1" x14ac:dyDescent="0.25">
      <c r="A10" s="12"/>
      <c r="B10" s="12"/>
      <c r="C10" s="6" t="s">
        <v>20</v>
      </c>
      <c r="D10" s="6" t="s">
        <v>21</v>
      </c>
      <c r="E10" s="12"/>
    </row>
    <row r="11" spans="1:6" x14ac:dyDescent="0.2">
      <c r="A11" s="12" t="s">
        <v>16</v>
      </c>
      <c r="B11" s="12"/>
      <c r="C11" s="14">
        <f ca="1">INTERCEPT(INDIRECT($D$9):G992,INDIRECT($C$9):F992)</f>
        <v>9.6829921902245708E-2</v>
      </c>
      <c r="D11" s="5"/>
      <c r="E11" s="12"/>
    </row>
    <row r="12" spans="1:6" x14ac:dyDescent="0.2">
      <c r="A12" s="12" t="s">
        <v>17</v>
      </c>
      <c r="B12" s="12"/>
      <c r="C12" s="14">
        <f ca="1">SLOPE(INDIRECT($D$9):G992,INDIRECT($C$9):F992)</f>
        <v>4.970096098725085E-5</v>
      </c>
      <c r="D12" s="5"/>
      <c r="E12" s="12"/>
    </row>
    <row r="13" spans="1:6" x14ac:dyDescent="0.2">
      <c r="A13" s="12" t="s">
        <v>19</v>
      </c>
      <c r="B13" s="12"/>
      <c r="C13" s="5" t="s">
        <v>14</v>
      </c>
      <c r="D13" s="5"/>
      <c r="E13" s="12"/>
    </row>
    <row r="14" spans="1:6" x14ac:dyDescent="0.2">
      <c r="A14" s="12"/>
      <c r="B14" s="12"/>
      <c r="C14" s="12"/>
      <c r="D14" s="12"/>
      <c r="E14" s="12"/>
    </row>
    <row r="15" spans="1:6" x14ac:dyDescent="0.2">
      <c r="A15" s="17" t="s">
        <v>18</v>
      </c>
      <c r="B15" s="12"/>
      <c r="C15" s="18">
        <f ca="1">(C7+C11)+(C8+C12)*INT(MAX(F21:F3533))</f>
        <v>52053.964950707479</v>
      </c>
      <c r="E15" s="19" t="s">
        <v>122</v>
      </c>
      <c r="F15" s="48">
        <v>1</v>
      </c>
    </row>
    <row r="16" spans="1:6" x14ac:dyDescent="0.2">
      <c r="A16" s="21" t="s">
        <v>4</v>
      </c>
      <c r="B16" s="12"/>
      <c r="C16" s="22">
        <f ca="1">+C8+C12</f>
        <v>1.1269697009609871</v>
      </c>
      <c r="E16" s="19" t="s">
        <v>34</v>
      </c>
      <c r="F16" s="20">
        <f ca="1">NOW()+15018.5+$C$5/24</f>
        <v>60320.729501851849</v>
      </c>
    </row>
    <row r="17" spans="1:17" ht="13.5" thickBot="1" x14ac:dyDescent="0.25">
      <c r="A17" s="19" t="s">
        <v>29</v>
      </c>
      <c r="B17" s="12"/>
      <c r="C17" s="12">
        <f>COUNT(C21:C2191)</f>
        <v>20</v>
      </c>
      <c r="E17" s="19" t="s">
        <v>123</v>
      </c>
      <c r="F17" s="20">
        <f ca="1">ROUND(2*(F16-$C$7)/$C$8,0)/2+F15</f>
        <v>30008</v>
      </c>
    </row>
    <row r="18" spans="1:17" ht="14.25" thickTop="1" thickBot="1" x14ac:dyDescent="0.25">
      <c r="A18" s="21" t="s">
        <v>5</v>
      </c>
      <c r="B18" s="12"/>
      <c r="C18" s="24">
        <f ca="1">+C15</f>
        <v>52053.964950707479</v>
      </c>
      <c r="D18" s="25">
        <f ca="1">+C16</f>
        <v>1.1269697009609871</v>
      </c>
      <c r="E18" s="19" t="s">
        <v>35</v>
      </c>
      <c r="F18" s="16">
        <f ca="1">ROUND(2*(F16-$C$15)/$C$16,0)/2+F15</f>
        <v>7336.5</v>
      </c>
    </row>
    <row r="19" spans="1:17" ht="13.5" thickTop="1" x14ac:dyDescent="0.2">
      <c r="E19" s="19" t="s">
        <v>36</v>
      </c>
      <c r="F19" s="23">
        <f ca="1">+$C$15+$C$16*F18-15018.5-$C$5/24</f>
        <v>45303.873995141097</v>
      </c>
    </row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48</v>
      </c>
      <c r="I20" s="9" t="s">
        <v>51</v>
      </c>
      <c r="J20" s="9" t="s">
        <v>45</v>
      </c>
      <c r="K20" s="9" t="s">
        <v>41</v>
      </c>
      <c r="L20" s="9" t="s">
        <v>119</v>
      </c>
      <c r="M20" s="9" t="s">
        <v>120</v>
      </c>
      <c r="N20" s="9" t="s">
        <v>121</v>
      </c>
      <c r="O20" s="9" t="s">
        <v>23</v>
      </c>
      <c r="P20" s="8" t="s">
        <v>22</v>
      </c>
      <c r="Q20" s="6" t="s">
        <v>15</v>
      </c>
    </row>
    <row r="21" spans="1:17" x14ac:dyDescent="0.2">
      <c r="A21" t="s">
        <v>12</v>
      </c>
      <c r="B21" s="5"/>
      <c r="C21" s="32">
        <v>26505.465</v>
      </c>
      <c r="D21" s="32" t="s">
        <v>14</v>
      </c>
      <c r="E21">
        <f t="shared" ref="E21:E40" si="0">+(C21-C$7)/C$8</f>
        <v>0</v>
      </c>
      <c r="F21">
        <f>ROUND(2*E21,0)/2</f>
        <v>0</v>
      </c>
      <c r="G21">
        <f t="shared" ref="G21:G40" si="1">+C21-(C$7+F21*C$8)</f>
        <v>0</v>
      </c>
      <c r="H21">
        <f>+G21</f>
        <v>0</v>
      </c>
      <c r="O21">
        <f t="shared" ref="O21:O40" ca="1" si="2">+C$11+C$12*F21</f>
        <v>9.6829921902245708E-2</v>
      </c>
      <c r="Q21" s="2">
        <f t="shared" ref="Q21:Q40" si="3">+C21-15018.5</f>
        <v>11486.965</v>
      </c>
    </row>
    <row r="22" spans="1:17" x14ac:dyDescent="0.2">
      <c r="A22" t="s">
        <v>58</v>
      </c>
      <c r="B22" s="5" t="s">
        <v>40</v>
      </c>
      <c r="C22" s="32">
        <v>37584.277000000002</v>
      </c>
      <c r="D22" s="32" t="s">
        <v>51</v>
      </c>
      <c r="E22">
        <f t="shared" si="0"/>
        <v>9831.0545557803598</v>
      </c>
      <c r="F22" s="47">
        <f>ROUND(2*E22,0)/2-0.5</f>
        <v>9830.5</v>
      </c>
      <c r="G22">
        <f t="shared" si="1"/>
        <v>0.62494000000151573</v>
      </c>
      <c r="I22">
        <f t="shared" ref="I22:I39" si="4">G22</f>
        <v>0.62494000000151573</v>
      </c>
      <c r="O22">
        <f t="shared" ca="1" si="2"/>
        <v>0.58541521888741521</v>
      </c>
      <c r="Q22" s="2">
        <f t="shared" si="3"/>
        <v>22565.777000000002</v>
      </c>
    </row>
    <row r="23" spans="1:17" x14ac:dyDescent="0.2">
      <c r="A23" t="s">
        <v>58</v>
      </c>
      <c r="B23" s="5" t="s">
        <v>40</v>
      </c>
      <c r="C23" s="32">
        <v>38640.373</v>
      </c>
      <c r="D23" s="32" t="s">
        <v>51</v>
      </c>
      <c r="E23">
        <f t="shared" si="0"/>
        <v>10768.207148688462</v>
      </c>
      <c r="F23" s="47">
        <f>ROUND(2*E23,0)/2-0.5</f>
        <v>10767.5</v>
      </c>
      <c r="G23">
        <f t="shared" si="1"/>
        <v>0.79690000000118744</v>
      </c>
      <c r="I23">
        <f t="shared" si="4"/>
        <v>0.79690000000118744</v>
      </c>
      <c r="O23">
        <f t="shared" ca="1" si="2"/>
        <v>0.6319850193324692</v>
      </c>
      <c r="Q23" s="2">
        <f t="shared" si="3"/>
        <v>23621.873</v>
      </c>
    </row>
    <row r="24" spans="1:17" x14ac:dyDescent="0.2">
      <c r="A24" t="s">
        <v>58</v>
      </c>
      <c r="B24" s="5" t="s">
        <v>40</v>
      </c>
      <c r="C24" s="34">
        <v>41517.436000000002</v>
      </c>
      <c r="D24" s="34" t="s">
        <v>51</v>
      </c>
      <c r="E24">
        <f t="shared" si="0"/>
        <v>13321.239307138043</v>
      </c>
      <c r="F24" s="47">
        <f>ROUND(2*E24,0)/2-0.5</f>
        <v>13320.5</v>
      </c>
      <c r="G24">
        <f t="shared" si="1"/>
        <v>0.83314000000245869</v>
      </c>
      <c r="I24">
        <f t="shared" si="4"/>
        <v>0.83314000000245869</v>
      </c>
      <c r="O24">
        <f t="shared" ca="1" si="2"/>
        <v>0.75887157273292061</v>
      </c>
      <c r="Q24" s="2">
        <f t="shared" si="3"/>
        <v>26498.936000000002</v>
      </c>
    </row>
    <row r="25" spans="1:17" x14ac:dyDescent="0.2">
      <c r="A25" t="s">
        <v>58</v>
      </c>
      <c r="B25" s="5" t="s">
        <v>40</v>
      </c>
      <c r="C25" s="34">
        <v>41536.498</v>
      </c>
      <c r="D25" s="34" t="s">
        <v>51</v>
      </c>
      <c r="E25">
        <f t="shared" si="0"/>
        <v>13338.154438646932</v>
      </c>
      <c r="F25" s="47">
        <f>ROUND(2*E25,0)/2-0.5</f>
        <v>13337.5</v>
      </c>
      <c r="G25">
        <f t="shared" si="1"/>
        <v>0.73750000000291038</v>
      </c>
      <c r="I25">
        <f t="shared" si="4"/>
        <v>0.73750000000291038</v>
      </c>
      <c r="O25">
        <f t="shared" ca="1" si="2"/>
        <v>0.7597164890697039</v>
      </c>
      <c r="Q25" s="2">
        <f t="shared" si="3"/>
        <v>26517.998</v>
      </c>
    </row>
    <row r="26" spans="1:17" x14ac:dyDescent="0.2">
      <c r="A26" t="s">
        <v>58</v>
      </c>
      <c r="B26" s="5" t="s">
        <v>40</v>
      </c>
      <c r="C26" s="34">
        <v>43078.243000000002</v>
      </c>
      <c r="D26" s="34" t="s">
        <v>51</v>
      </c>
      <c r="E26">
        <f t="shared" si="0"/>
        <v>14706.259539275195</v>
      </c>
      <c r="F26" s="16">
        <f>ROUND(2*E26,0)/2-1</f>
        <v>14705.5</v>
      </c>
      <c r="G26">
        <f t="shared" si="1"/>
        <v>0.85594000000855885</v>
      </c>
      <c r="I26">
        <f t="shared" si="4"/>
        <v>0.85594000000855885</v>
      </c>
      <c r="O26">
        <f t="shared" ca="1" si="2"/>
        <v>0.82770740370026308</v>
      </c>
      <c r="Q26" s="2">
        <f t="shared" si="3"/>
        <v>28059.743000000002</v>
      </c>
    </row>
    <row r="27" spans="1:17" x14ac:dyDescent="0.2">
      <c r="A27" t="s">
        <v>58</v>
      </c>
      <c r="B27" s="5" t="s">
        <v>40</v>
      </c>
      <c r="C27" s="34">
        <v>44516.275000000001</v>
      </c>
      <c r="D27" s="34" t="s">
        <v>51</v>
      </c>
      <c r="E27">
        <f t="shared" si="0"/>
        <v>15982.332374968944</v>
      </c>
      <c r="F27" s="16">
        <f>ROUND(2*E27,0)/2-1</f>
        <v>15981.5</v>
      </c>
      <c r="G27">
        <f t="shared" si="1"/>
        <v>0.93802000000141561</v>
      </c>
      <c r="I27">
        <f t="shared" si="4"/>
        <v>0.93802000000141561</v>
      </c>
      <c r="O27">
        <f t="shared" ca="1" si="2"/>
        <v>0.89112582991999523</v>
      </c>
      <c r="Q27" s="2">
        <f t="shared" si="3"/>
        <v>29497.775000000001</v>
      </c>
    </row>
    <row r="28" spans="1:17" x14ac:dyDescent="0.2">
      <c r="A28" t="s">
        <v>58</v>
      </c>
      <c r="B28" s="5" t="s">
        <v>40</v>
      </c>
      <c r="C28" s="34">
        <v>45193.440000000002</v>
      </c>
      <c r="D28" s="34" t="s">
        <v>51</v>
      </c>
      <c r="E28">
        <f t="shared" si="0"/>
        <v>16583.231285273137</v>
      </c>
      <c r="F28" s="47">
        <f>ROUND(2*E28,0)/2-0.5</f>
        <v>16582.5</v>
      </c>
      <c r="G28">
        <f t="shared" si="1"/>
        <v>0.82410000000527361</v>
      </c>
      <c r="I28">
        <f t="shared" si="4"/>
        <v>0.82410000000527361</v>
      </c>
      <c r="O28">
        <f t="shared" ca="1" si="2"/>
        <v>0.92099610747333294</v>
      </c>
      <c r="Q28" s="2">
        <f t="shared" si="3"/>
        <v>30174.940000000002</v>
      </c>
    </row>
    <row r="29" spans="1:17" x14ac:dyDescent="0.2">
      <c r="A29" t="s">
        <v>58</v>
      </c>
      <c r="B29" s="5" t="s">
        <v>40</v>
      </c>
      <c r="C29" s="34">
        <v>45280.239000000001</v>
      </c>
      <c r="D29" s="34" t="s">
        <v>51</v>
      </c>
      <c r="E29">
        <f t="shared" si="0"/>
        <v>16660.254498988394</v>
      </c>
      <c r="F29" s="16">
        <f t="shared" ref="F29:F40" si="5">ROUND(2*E29,0)/2-1</f>
        <v>16659.5</v>
      </c>
      <c r="G29">
        <f t="shared" si="1"/>
        <v>0.85026000000652857</v>
      </c>
      <c r="I29">
        <f t="shared" si="4"/>
        <v>0.85026000000652857</v>
      </c>
      <c r="O29">
        <f t="shared" ca="1" si="2"/>
        <v>0.92482308146935122</v>
      </c>
      <c r="Q29" s="2">
        <f t="shared" si="3"/>
        <v>30261.739000000001</v>
      </c>
    </row>
    <row r="30" spans="1:17" x14ac:dyDescent="0.2">
      <c r="A30" t="s">
        <v>58</v>
      </c>
      <c r="B30" s="5" t="s">
        <v>40</v>
      </c>
      <c r="C30" s="34">
        <v>46595.525999999998</v>
      </c>
      <c r="D30" s="34" t="s">
        <v>51</v>
      </c>
      <c r="E30">
        <f t="shared" si="0"/>
        <v>17827.406559471834</v>
      </c>
      <c r="F30" s="16">
        <f t="shared" si="5"/>
        <v>17826.5</v>
      </c>
      <c r="G30">
        <f t="shared" si="1"/>
        <v>1.0216199999995297</v>
      </c>
      <c r="I30">
        <f t="shared" si="4"/>
        <v>1.0216199999995297</v>
      </c>
      <c r="O30">
        <f t="shared" ca="1" si="2"/>
        <v>0.98282410294147304</v>
      </c>
      <c r="Q30" s="2">
        <f t="shared" si="3"/>
        <v>31577.025999999998</v>
      </c>
    </row>
    <row r="31" spans="1:17" x14ac:dyDescent="0.2">
      <c r="A31" t="s">
        <v>58</v>
      </c>
      <c r="B31" s="5" t="s">
        <v>40</v>
      </c>
      <c r="C31" s="34">
        <v>46612.468000000001</v>
      </c>
      <c r="D31" s="34" t="s">
        <v>51</v>
      </c>
      <c r="E31">
        <f t="shared" si="0"/>
        <v>17842.440457175311</v>
      </c>
      <c r="F31" s="16">
        <f t="shared" si="5"/>
        <v>17841.5</v>
      </c>
      <c r="G31">
        <f t="shared" si="1"/>
        <v>1.0598200000022189</v>
      </c>
      <c r="I31">
        <f t="shared" si="4"/>
        <v>1.0598200000022189</v>
      </c>
      <c r="O31">
        <f t="shared" ca="1" si="2"/>
        <v>0.98356961735628179</v>
      </c>
      <c r="Q31" s="2">
        <f t="shared" si="3"/>
        <v>31593.968000000001</v>
      </c>
    </row>
    <row r="32" spans="1:17" x14ac:dyDescent="0.2">
      <c r="A32" t="s">
        <v>58</v>
      </c>
      <c r="B32" s="5" t="s">
        <v>40</v>
      </c>
      <c r="C32" s="34">
        <v>46613.483999999997</v>
      </c>
      <c r="D32" s="34" t="s">
        <v>51</v>
      </c>
      <c r="E32">
        <f t="shared" si="0"/>
        <v>17843.342029602809</v>
      </c>
      <c r="F32" s="16">
        <f t="shared" si="5"/>
        <v>17842.5</v>
      </c>
      <c r="G32">
        <f t="shared" si="1"/>
        <v>0.94890000000305008</v>
      </c>
      <c r="I32">
        <f t="shared" si="4"/>
        <v>0.94890000000305008</v>
      </c>
      <c r="O32">
        <f t="shared" ca="1" si="2"/>
        <v>0.98361931831726901</v>
      </c>
      <c r="Q32" s="2">
        <f t="shared" si="3"/>
        <v>31594.983999999997</v>
      </c>
    </row>
    <row r="33" spans="1:31" x14ac:dyDescent="0.2">
      <c r="A33" t="s">
        <v>58</v>
      </c>
      <c r="B33" s="5" t="s">
        <v>40</v>
      </c>
      <c r="C33" s="34">
        <v>46683.353999999999</v>
      </c>
      <c r="D33" s="34" t="s">
        <v>51</v>
      </c>
      <c r="E33">
        <f t="shared" si="0"/>
        <v>17905.342881482269</v>
      </c>
      <c r="F33" s="16">
        <f t="shared" si="5"/>
        <v>17904.5</v>
      </c>
      <c r="G33">
        <f t="shared" si="1"/>
        <v>0.94986000000062631</v>
      </c>
      <c r="I33">
        <f t="shared" si="4"/>
        <v>0.94986000000062631</v>
      </c>
      <c r="O33">
        <f t="shared" ca="1" si="2"/>
        <v>0.98670077789847854</v>
      </c>
      <c r="Q33" s="2">
        <f t="shared" si="3"/>
        <v>31664.853999999999</v>
      </c>
    </row>
    <row r="34" spans="1:31" x14ac:dyDescent="0.2">
      <c r="A34" t="s">
        <v>58</v>
      </c>
      <c r="B34" s="5" t="s">
        <v>40</v>
      </c>
      <c r="C34" s="34">
        <v>46976.457999999999</v>
      </c>
      <c r="D34" s="34" t="s">
        <v>51</v>
      </c>
      <c r="E34">
        <f t="shared" si="0"/>
        <v>18165.435878323216</v>
      </c>
      <c r="F34" s="16">
        <f t="shared" si="5"/>
        <v>18164.5</v>
      </c>
      <c r="G34">
        <f t="shared" si="1"/>
        <v>1.0546600000016042</v>
      </c>
      <c r="I34">
        <f t="shared" si="4"/>
        <v>1.0546600000016042</v>
      </c>
      <c r="O34">
        <f t="shared" ca="1" si="2"/>
        <v>0.99962302775516376</v>
      </c>
      <c r="Q34" s="2">
        <f t="shared" si="3"/>
        <v>31957.957999999999</v>
      </c>
    </row>
    <row r="35" spans="1:31" x14ac:dyDescent="0.2">
      <c r="A35" t="s">
        <v>58</v>
      </c>
      <c r="B35" s="5" t="s">
        <v>40</v>
      </c>
      <c r="C35" s="34">
        <v>47029.366999999998</v>
      </c>
      <c r="D35" s="34" t="s">
        <v>51</v>
      </c>
      <c r="E35">
        <f t="shared" si="0"/>
        <v>18212.385972384905</v>
      </c>
      <c r="F35" s="16">
        <f t="shared" si="5"/>
        <v>18211.5</v>
      </c>
      <c r="G35">
        <f t="shared" si="1"/>
        <v>0.99842000000353437</v>
      </c>
      <c r="I35">
        <f t="shared" si="4"/>
        <v>0.99842000000353437</v>
      </c>
      <c r="O35">
        <f t="shared" ca="1" si="2"/>
        <v>1.0019589729215646</v>
      </c>
      <c r="Q35" s="2">
        <f t="shared" si="3"/>
        <v>32010.866999999998</v>
      </c>
    </row>
    <row r="36" spans="1:31" x14ac:dyDescent="0.2">
      <c r="A36" t="s">
        <v>58</v>
      </c>
      <c r="B36" s="5" t="s">
        <v>40</v>
      </c>
      <c r="C36" s="34">
        <v>47030.400999999998</v>
      </c>
      <c r="D36" s="34" t="s">
        <v>51</v>
      </c>
      <c r="E36">
        <f t="shared" si="0"/>
        <v>18213.303517552267</v>
      </c>
      <c r="F36" s="16">
        <f t="shared" si="5"/>
        <v>18212.5</v>
      </c>
      <c r="G36">
        <f t="shared" si="1"/>
        <v>0.9055000000007567</v>
      </c>
      <c r="I36">
        <f t="shared" si="4"/>
        <v>0.9055000000007567</v>
      </c>
      <c r="O36">
        <f t="shared" ca="1" si="2"/>
        <v>1.0020086738825518</v>
      </c>
      <c r="Q36" s="2">
        <f t="shared" si="3"/>
        <v>32011.900999999998</v>
      </c>
    </row>
    <row r="37" spans="1:31" x14ac:dyDescent="0.2">
      <c r="A37" t="s">
        <v>58</v>
      </c>
      <c r="B37" s="5" t="s">
        <v>40</v>
      </c>
      <c r="C37" s="34">
        <v>47411.334999999999</v>
      </c>
      <c r="D37" s="34" t="s">
        <v>51</v>
      </c>
      <c r="E37">
        <f t="shared" si="0"/>
        <v>18551.334611152521</v>
      </c>
      <c r="F37" s="16">
        <f t="shared" si="5"/>
        <v>18550.5</v>
      </c>
      <c r="G37">
        <f t="shared" si="1"/>
        <v>0.94054000000323867</v>
      </c>
      <c r="I37">
        <f t="shared" si="4"/>
        <v>0.94054000000323867</v>
      </c>
      <c r="O37">
        <f t="shared" ca="1" si="2"/>
        <v>1.0188075986962426</v>
      </c>
      <c r="Q37" s="2">
        <f t="shared" si="3"/>
        <v>32392.834999999999</v>
      </c>
    </row>
    <row r="38" spans="1:31" x14ac:dyDescent="0.2">
      <c r="A38" t="s">
        <v>58</v>
      </c>
      <c r="B38" s="5" t="s">
        <v>40</v>
      </c>
      <c r="C38" s="34">
        <v>48068.445</v>
      </c>
      <c r="D38" s="34" t="s">
        <v>51</v>
      </c>
      <c r="E38">
        <f t="shared" si="0"/>
        <v>19134.437227132363</v>
      </c>
      <c r="F38" s="16">
        <f t="shared" si="5"/>
        <v>19133.5</v>
      </c>
      <c r="G38">
        <f t="shared" si="1"/>
        <v>1.0561799999995856</v>
      </c>
      <c r="I38">
        <f t="shared" si="4"/>
        <v>1.0561799999995856</v>
      </c>
      <c r="O38">
        <f t="shared" ca="1" si="2"/>
        <v>1.0477832589518099</v>
      </c>
      <c r="Q38" s="2">
        <f t="shared" si="3"/>
        <v>33049.945</v>
      </c>
    </row>
    <row r="39" spans="1:31" x14ac:dyDescent="0.2">
      <c r="A39" t="s">
        <v>26</v>
      </c>
      <c r="B39" s="5" t="s">
        <v>28</v>
      </c>
      <c r="C39" s="32">
        <v>50988.430999999997</v>
      </c>
      <c r="D39" s="32"/>
      <c r="E39">
        <f t="shared" si="0"/>
        <v>21725.558158520569</v>
      </c>
      <c r="F39" s="16">
        <f t="shared" si="5"/>
        <v>21724.5</v>
      </c>
      <c r="G39">
        <f t="shared" si="1"/>
        <v>1.1924599999983911</v>
      </c>
      <c r="I39">
        <f t="shared" si="4"/>
        <v>1.1924599999983911</v>
      </c>
      <c r="O39">
        <f t="shared" ca="1" si="2"/>
        <v>1.1765584488697769</v>
      </c>
      <c r="Q39" s="2">
        <f t="shared" si="3"/>
        <v>35969.930999999997</v>
      </c>
      <c r="AA39">
        <v>7</v>
      </c>
      <c r="AB39">
        <v>0.01</v>
      </c>
      <c r="AC39" t="s">
        <v>25</v>
      </c>
      <c r="AE39" t="s">
        <v>27</v>
      </c>
    </row>
    <row r="40" spans="1:31" x14ac:dyDescent="0.2">
      <c r="A40" s="29" t="s">
        <v>39</v>
      </c>
      <c r="B40" s="30" t="s">
        <v>40</v>
      </c>
      <c r="C40" s="31">
        <v>52054.520600000003</v>
      </c>
      <c r="D40" s="31" t="s">
        <v>41</v>
      </c>
      <c r="E40">
        <f t="shared" si="0"/>
        <v>22671.578816597455</v>
      </c>
      <c r="F40" s="16">
        <f t="shared" si="5"/>
        <v>22670.5</v>
      </c>
      <c r="G40">
        <f t="shared" si="1"/>
        <v>1.2157399999996414</v>
      </c>
      <c r="K40">
        <f>G40</f>
        <v>1.2157399999996414</v>
      </c>
      <c r="O40">
        <f t="shared" ca="1" si="2"/>
        <v>1.2235755579637162</v>
      </c>
      <c r="Q40" s="2">
        <f t="shared" si="3"/>
        <v>37036.020600000003</v>
      </c>
    </row>
    <row r="41" spans="1:31" x14ac:dyDescent="0.2">
      <c r="B41" s="5"/>
      <c r="D41" s="5"/>
    </row>
    <row r="42" spans="1:31" x14ac:dyDescent="0.2">
      <c r="B42" s="5"/>
      <c r="D42" s="5"/>
    </row>
    <row r="43" spans="1:31" x14ac:dyDescent="0.2">
      <c r="D43" s="5"/>
    </row>
    <row r="44" spans="1:31" x14ac:dyDescent="0.2">
      <c r="D44" s="5"/>
    </row>
    <row r="45" spans="1:31" x14ac:dyDescent="0.2">
      <c r="D45" s="5"/>
    </row>
    <row r="46" spans="1:31" x14ac:dyDescent="0.2">
      <c r="D46" s="5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4"/>
  <sheetViews>
    <sheetView workbookViewId="0">
      <selection activeCell="A11" sqref="A11:D27"/>
    </sheetView>
  </sheetViews>
  <sheetFormatPr defaultRowHeight="12.75" x14ac:dyDescent="0.2"/>
  <cols>
    <col min="1" max="1" width="19.7109375" style="34" customWidth="1"/>
    <col min="2" max="2" width="4.42578125" style="12" customWidth="1"/>
    <col min="3" max="3" width="12.7109375" style="34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34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3" t="s">
        <v>42</v>
      </c>
      <c r="I1" s="35" t="s">
        <v>43</v>
      </c>
      <c r="J1" s="36" t="s">
        <v>41</v>
      </c>
    </row>
    <row r="2" spans="1:16" x14ac:dyDescent="0.2">
      <c r="I2" s="37" t="s">
        <v>44</v>
      </c>
      <c r="J2" s="38" t="s">
        <v>45</v>
      </c>
    </row>
    <row r="3" spans="1:16" x14ac:dyDescent="0.2">
      <c r="A3" s="39" t="s">
        <v>46</v>
      </c>
      <c r="I3" s="37" t="s">
        <v>47</v>
      </c>
      <c r="J3" s="38" t="s">
        <v>48</v>
      </c>
    </row>
    <row r="4" spans="1:16" x14ac:dyDescent="0.2">
      <c r="I4" s="37" t="s">
        <v>49</v>
      </c>
      <c r="J4" s="38" t="s">
        <v>48</v>
      </c>
    </row>
    <row r="5" spans="1:16" ht="13.5" thickBot="1" x14ac:dyDescent="0.25">
      <c r="I5" s="40" t="s">
        <v>50</v>
      </c>
      <c r="J5" s="41" t="s">
        <v>51</v>
      </c>
    </row>
    <row r="10" spans="1:16" ht="13.5" thickBot="1" x14ac:dyDescent="0.25"/>
    <row r="11" spans="1:16" ht="12.75" customHeight="1" thickBot="1" x14ac:dyDescent="0.25">
      <c r="A11" s="34" t="str">
        <f t="shared" ref="A11:A29" si="0">P11</f>
        <v>BAVM 236 </v>
      </c>
      <c r="B11" s="5" t="str">
        <f t="shared" ref="B11:B29" si="1">IF(H11=INT(H11),"I","II")</f>
        <v>I</v>
      </c>
      <c r="C11" s="34">
        <f t="shared" ref="C11:C29" si="2">1*G11</f>
        <v>37584.277000000002</v>
      </c>
      <c r="D11" s="12" t="str">
        <f t="shared" ref="D11:D29" si="3">VLOOKUP(F11,I$1:J$5,2,FALSE)</f>
        <v>vis</v>
      </c>
      <c r="E11" s="42">
        <f>VLOOKUP(C11,'A (old)'!C$21:E$973,3,FALSE)</f>
        <v>10469.972622054887</v>
      </c>
      <c r="F11" s="5" t="s">
        <v>50</v>
      </c>
      <c r="G11" s="12" t="str">
        <f t="shared" ref="G11:G29" si="4">MID(I11,3,LEN(I11)-3)</f>
        <v>37584.277</v>
      </c>
      <c r="H11" s="34">
        <f t="shared" ref="H11:H29" si="5">1*K11</f>
        <v>10470</v>
      </c>
      <c r="I11" s="43" t="s">
        <v>54</v>
      </c>
      <c r="J11" s="44" t="s">
        <v>55</v>
      </c>
      <c r="K11" s="43">
        <v>10470</v>
      </c>
      <c r="L11" s="43" t="s">
        <v>56</v>
      </c>
      <c r="M11" s="44" t="s">
        <v>53</v>
      </c>
      <c r="N11" s="44"/>
      <c r="O11" s="45" t="s">
        <v>57</v>
      </c>
      <c r="P11" s="46" t="s">
        <v>58</v>
      </c>
    </row>
    <row r="12" spans="1:16" ht="12.75" customHeight="1" thickBot="1" x14ac:dyDescent="0.25">
      <c r="A12" s="34" t="str">
        <f t="shared" si="0"/>
        <v>BAVM 236 </v>
      </c>
      <c r="B12" s="5" t="str">
        <f t="shared" si="1"/>
        <v>I</v>
      </c>
      <c r="C12" s="34">
        <f t="shared" si="2"/>
        <v>38640.373</v>
      </c>
      <c r="D12" s="12" t="str">
        <f t="shared" si="3"/>
        <v>vis</v>
      </c>
      <c r="E12" s="42">
        <f>VLOOKUP(C12,'A (old)'!C$21:E$973,3,FALSE)</f>
        <v>11468.030555185413</v>
      </c>
      <c r="F12" s="5" t="s">
        <v>50</v>
      </c>
      <c r="G12" s="12" t="str">
        <f t="shared" si="4"/>
        <v>38640.373</v>
      </c>
      <c r="H12" s="34">
        <f t="shared" si="5"/>
        <v>11468</v>
      </c>
      <c r="I12" s="43" t="s">
        <v>59</v>
      </c>
      <c r="J12" s="44" t="s">
        <v>60</v>
      </c>
      <c r="K12" s="43">
        <v>11468</v>
      </c>
      <c r="L12" s="43" t="s">
        <v>61</v>
      </c>
      <c r="M12" s="44" t="s">
        <v>53</v>
      </c>
      <c r="N12" s="44"/>
      <c r="O12" s="45" t="s">
        <v>57</v>
      </c>
      <c r="P12" s="46" t="s">
        <v>58</v>
      </c>
    </row>
    <row r="13" spans="1:16" ht="12.75" customHeight="1" thickBot="1" x14ac:dyDescent="0.25">
      <c r="A13" s="34" t="str">
        <f t="shared" si="0"/>
        <v>BAVM 236 </v>
      </c>
      <c r="B13" s="5" t="str">
        <f t="shared" si="1"/>
        <v>I</v>
      </c>
      <c r="C13" s="34">
        <f t="shared" si="2"/>
        <v>41517.436000000002</v>
      </c>
      <c r="D13" s="12" t="str">
        <f t="shared" si="3"/>
        <v>vis</v>
      </c>
      <c r="E13" s="42">
        <f>VLOOKUP(C13,'A (old)'!C$21:E$973,3,FALSE)</f>
        <v>14186.983710264414</v>
      </c>
      <c r="F13" s="5" t="s">
        <v>50</v>
      </c>
      <c r="G13" s="12" t="str">
        <f t="shared" si="4"/>
        <v>41517.436</v>
      </c>
      <c r="H13" s="34">
        <f t="shared" si="5"/>
        <v>14187</v>
      </c>
      <c r="I13" s="43" t="s">
        <v>62</v>
      </c>
      <c r="J13" s="44" t="s">
        <v>63</v>
      </c>
      <c r="K13" s="43">
        <v>14187</v>
      </c>
      <c r="L13" s="43" t="s">
        <v>64</v>
      </c>
      <c r="M13" s="44" t="s">
        <v>53</v>
      </c>
      <c r="N13" s="44"/>
      <c r="O13" s="45" t="s">
        <v>57</v>
      </c>
      <c r="P13" s="46" t="s">
        <v>58</v>
      </c>
    </row>
    <row r="14" spans="1:16" ht="12.75" customHeight="1" thickBot="1" x14ac:dyDescent="0.25">
      <c r="A14" s="34" t="str">
        <f t="shared" si="0"/>
        <v>BAVM 236 </v>
      </c>
      <c r="B14" s="5" t="str">
        <f t="shared" si="1"/>
        <v>I</v>
      </c>
      <c r="C14" s="34">
        <f t="shared" si="2"/>
        <v>41536.498</v>
      </c>
      <c r="D14" s="12" t="str">
        <f t="shared" si="3"/>
        <v>vis</v>
      </c>
      <c r="E14" s="42">
        <f>VLOOKUP(C14,'A (old)'!C$21:E$973,3,FALSE)</f>
        <v>14204.9981524376</v>
      </c>
      <c r="F14" s="5" t="s">
        <v>50</v>
      </c>
      <c r="G14" s="12" t="str">
        <f t="shared" si="4"/>
        <v>41536.498</v>
      </c>
      <c r="H14" s="34">
        <f t="shared" si="5"/>
        <v>14205</v>
      </c>
      <c r="I14" s="43" t="s">
        <v>65</v>
      </c>
      <c r="J14" s="44" t="s">
        <v>66</v>
      </c>
      <c r="K14" s="43">
        <v>14205</v>
      </c>
      <c r="L14" s="43" t="s">
        <v>67</v>
      </c>
      <c r="M14" s="44" t="s">
        <v>53</v>
      </c>
      <c r="N14" s="44"/>
      <c r="O14" s="45" t="s">
        <v>57</v>
      </c>
      <c r="P14" s="46" t="s">
        <v>58</v>
      </c>
    </row>
    <row r="15" spans="1:16" ht="12.75" customHeight="1" thickBot="1" x14ac:dyDescent="0.25">
      <c r="A15" s="34" t="str">
        <f t="shared" si="0"/>
        <v>BAVM 236 </v>
      </c>
      <c r="B15" s="5" t="str">
        <f t="shared" si="1"/>
        <v>I</v>
      </c>
      <c r="C15" s="34">
        <f t="shared" si="2"/>
        <v>43078.243000000002</v>
      </c>
      <c r="D15" s="12" t="str">
        <f t="shared" si="3"/>
        <v>vis</v>
      </c>
      <c r="E15" s="42">
        <f>VLOOKUP(C15,'A (old)'!C$21:E$973,3,FALSE)</f>
        <v>15662.01610167169</v>
      </c>
      <c r="F15" s="5" t="s">
        <v>50</v>
      </c>
      <c r="G15" s="12" t="str">
        <f t="shared" si="4"/>
        <v>43078.243</v>
      </c>
      <c r="H15" s="34">
        <f t="shared" si="5"/>
        <v>15662</v>
      </c>
      <c r="I15" s="43" t="s">
        <v>68</v>
      </c>
      <c r="J15" s="44" t="s">
        <v>69</v>
      </c>
      <c r="K15" s="43">
        <v>15662</v>
      </c>
      <c r="L15" s="43" t="s">
        <v>70</v>
      </c>
      <c r="M15" s="44" t="s">
        <v>53</v>
      </c>
      <c r="N15" s="44"/>
      <c r="O15" s="45" t="s">
        <v>57</v>
      </c>
      <c r="P15" s="46" t="s">
        <v>58</v>
      </c>
    </row>
    <row r="16" spans="1:16" ht="12.75" customHeight="1" thickBot="1" x14ac:dyDescent="0.25">
      <c r="A16" s="34" t="str">
        <f t="shared" si="0"/>
        <v>BAVM 236 </v>
      </c>
      <c r="B16" s="5" t="str">
        <f t="shared" si="1"/>
        <v>I</v>
      </c>
      <c r="C16" s="34">
        <f t="shared" si="2"/>
        <v>44516.275000000001</v>
      </c>
      <c r="D16" s="12" t="str">
        <f t="shared" si="3"/>
        <v>vis</v>
      </c>
      <c r="E16" s="42">
        <f>VLOOKUP(C16,'A (old)'!C$21:E$973,3,FALSE)</f>
        <v>17021.020629380873</v>
      </c>
      <c r="F16" s="5" t="s">
        <v>50</v>
      </c>
      <c r="G16" s="12" t="str">
        <f t="shared" si="4"/>
        <v>44516.275</v>
      </c>
      <c r="H16" s="34">
        <f t="shared" si="5"/>
        <v>17021</v>
      </c>
      <c r="I16" s="43" t="s">
        <v>71</v>
      </c>
      <c r="J16" s="44" t="s">
        <v>72</v>
      </c>
      <c r="K16" s="43">
        <v>17021</v>
      </c>
      <c r="L16" s="43" t="s">
        <v>73</v>
      </c>
      <c r="M16" s="44" t="s">
        <v>53</v>
      </c>
      <c r="N16" s="44"/>
      <c r="O16" s="45" t="s">
        <v>57</v>
      </c>
      <c r="P16" s="46" t="s">
        <v>58</v>
      </c>
    </row>
    <row r="17" spans="1:16" ht="12.75" customHeight="1" thickBot="1" x14ac:dyDescent="0.25">
      <c r="A17" s="34" t="str">
        <f t="shared" si="0"/>
        <v>BAVM 236 </v>
      </c>
      <c r="B17" s="5" t="str">
        <f t="shared" si="1"/>
        <v>I</v>
      </c>
      <c r="C17" s="34">
        <f t="shared" si="2"/>
        <v>45193.440000000002</v>
      </c>
      <c r="D17" s="12" t="str">
        <f t="shared" si="3"/>
        <v>vis</v>
      </c>
      <c r="E17" s="42">
        <f>VLOOKUP(C17,'A (old)'!C$21:E$973,3,FALSE)</f>
        <v>17660.971827272289</v>
      </c>
      <c r="F17" s="5" t="s">
        <v>50</v>
      </c>
      <c r="G17" s="12" t="str">
        <f t="shared" si="4"/>
        <v>45193.44</v>
      </c>
      <c r="H17" s="34">
        <f t="shared" si="5"/>
        <v>17661</v>
      </c>
      <c r="I17" s="43" t="s">
        <v>74</v>
      </c>
      <c r="J17" s="44" t="s">
        <v>75</v>
      </c>
      <c r="K17" s="43">
        <v>17661</v>
      </c>
      <c r="L17" s="43" t="s">
        <v>76</v>
      </c>
      <c r="M17" s="44" t="s">
        <v>53</v>
      </c>
      <c r="N17" s="44"/>
      <c r="O17" s="45" t="s">
        <v>57</v>
      </c>
      <c r="P17" s="46" t="s">
        <v>58</v>
      </c>
    </row>
    <row r="18" spans="1:16" ht="12.75" customHeight="1" thickBot="1" x14ac:dyDescent="0.25">
      <c r="A18" s="34" t="str">
        <f t="shared" si="0"/>
        <v>BAVM 236 </v>
      </c>
      <c r="B18" s="5" t="str">
        <f t="shared" si="1"/>
        <v>I</v>
      </c>
      <c r="C18" s="34">
        <f t="shared" si="2"/>
        <v>45280.239000000001</v>
      </c>
      <c r="D18" s="12" t="str">
        <f t="shared" si="3"/>
        <v>vis</v>
      </c>
      <c r="E18" s="42">
        <f>VLOOKUP(C18,'A (old)'!C$21:E$973,3,FALSE)</f>
        <v>17743.000762651078</v>
      </c>
      <c r="F18" s="5" t="s">
        <v>50</v>
      </c>
      <c r="G18" s="12" t="str">
        <f t="shared" si="4"/>
        <v>45280.239</v>
      </c>
      <c r="H18" s="34">
        <f t="shared" si="5"/>
        <v>17743</v>
      </c>
      <c r="I18" s="43" t="s">
        <v>77</v>
      </c>
      <c r="J18" s="44" t="s">
        <v>78</v>
      </c>
      <c r="K18" s="43">
        <v>17743</v>
      </c>
      <c r="L18" s="43" t="s">
        <v>79</v>
      </c>
      <c r="M18" s="44" t="s">
        <v>53</v>
      </c>
      <c r="N18" s="44"/>
      <c r="O18" s="45" t="s">
        <v>57</v>
      </c>
      <c r="P18" s="46" t="s">
        <v>58</v>
      </c>
    </row>
    <row r="19" spans="1:16" ht="12.75" customHeight="1" thickBot="1" x14ac:dyDescent="0.25">
      <c r="A19" s="34" t="str">
        <f t="shared" si="0"/>
        <v>BAVM 236 </v>
      </c>
      <c r="B19" s="5" t="str">
        <f t="shared" si="1"/>
        <v>I</v>
      </c>
      <c r="C19" s="34">
        <f t="shared" si="2"/>
        <v>46595.525999999998</v>
      </c>
      <c r="D19" s="12" t="str">
        <f t="shared" si="3"/>
        <v>vis</v>
      </c>
      <c r="E19" s="42">
        <f>VLOOKUP(C19,'A (old)'!C$21:E$973,3,FALSE)</f>
        <v>18986.005778003324</v>
      </c>
      <c r="F19" s="5" t="s">
        <v>50</v>
      </c>
      <c r="G19" s="12" t="str">
        <f t="shared" si="4"/>
        <v>46595.526</v>
      </c>
      <c r="H19" s="34">
        <f t="shared" si="5"/>
        <v>18986</v>
      </c>
      <c r="I19" s="43" t="s">
        <v>80</v>
      </c>
      <c r="J19" s="44" t="s">
        <v>81</v>
      </c>
      <c r="K19" s="43">
        <v>18986</v>
      </c>
      <c r="L19" s="43" t="s">
        <v>82</v>
      </c>
      <c r="M19" s="44" t="s">
        <v>53</v>
      </c>
      <c r="N19" s="44"/>
      <c r="O19" s="45" t="s">
        <v>57</v>
      </c>
      <c r="P19" s="46" t="s">
        <v>58</v>
      </c>
    </row>
    <row r="20" spans="1:16" ht="12.75" customHeight="1" thickBot="1" x14ac:dyDescent="0.25">
      <c r="A20" s="34" t="str">
        <f t="shared" si="0"/>
        <v>BAVM 236 </v>
      </c>
      <c r="B20" s="5" t="str">
        <f t="shared" si="1"/>
        <v>I</v>
      </c>
      <c r="C20" s="34">
        <f t="shared" si="2"/>
        <v>46612.468000000001</v>
      </c>
      <c r="D20" s="12" t="str">
        <f t="shared" si="3"/>
        <v>vis</v>
      </c>
      <c r="E20" s="42">
        <f>VLOOKUP(C20,'A (old)'!C$21:E$973,3,FALSE)</f>
        <v>19002.016725401194</v>
      </c>
      <c r="F20" s="5" t="s">
        <v>50</v>
      </c>
      <c r="G20" s="12" t="str">
        <f t="shared" si="4"/>
        <v>46612.468</v>
      </c>
      <c r="H20" s="34">
        <f t="shared" si="5"/>
        <v>19002</v>
      </c>
      <c r="I20" s="43" t="s">
        <v>83</v>
      </c>
      <c r="J20" s="44" t="s">
        <v>84</v>
      </c>
      <c r="K20" s="43">
        <v>19002</v>
      </c>
      <c r="L20" s="43" t="s">
        <v>85</v>
      </c>
      <c r="M20" s="44" t="s">
        <v>53</v>
      </c>
      <c r="N20" s="44"/>
      <c r="O20" s="45" t="s">
        <v>57</v>
      </c>
      <c r="P20" s="46" t="s">
        <v>58</v>
      </c>
    </row>
    <row r="21" spans="1:16" ht="12.75" customHeight="1" thickBot="1" x14ac:dyDescent="0.25">
      <c r="A21" s="34" t="str">
        <f t="shared" si="0"/>
        <v>BAVM 236 </v>
      </c>
      <c r="B21" s="5" t="str">
        <f t="shared" si="1"/>
        <v>I</v>
      </c>
      <c r="C21" s="34">
        <f t="shared" si="2"/>
        <v>46613.483999999997</v>
      </c>
      <c r="D21" s="12" t="str">
        <f t="shared" si="3"/>
        <v>vis</v>
      </c>
      <c r="E21" s="42">
        <f>VLOOKUP(C21,'A (old)'!C$21:E$973,3,FALSE)</f>
        <v>19002.976890821818</v>
      </c>
      <c r="F21" s="5" t="s">
        <v>50</v>
      </c>
      <c r="G21" s="12" t="str">
        <f t="shared" si="4"/>
        <v>46613.484</v>
      </c>
      <c r="H21" s="34">
        <f t="shared" si="5"/>
        <v>19003</v>
      </c>
      <c r="I21" s="43" t="s">
        <v>86</v>
      </c>
      <c r="J21" s="44" t="s">
        <v>87</v>
      </c>
      <c r="K21" s="43">
        <v>19003</v>
      </c>
      <c r="L21" s="43" t="s">
        <v>88</v>
      </c>
      <c r="M21" s="44" t="s">
        <v>53</v>
      </c>
      <c r="N21" s="44"/>
      <c r="O21" s="45" t="s">
        <v>57</v>
      </c>
      <c r="P21" s="46" t="s">
        <v>58</v>
      </c>
    </row>
    <row r="22" spans="1:16" ht="12.75" customHeight="1" thickBot="1" x14ac:dyDescent="0.25">
      <c r="A22" s="34" t="str">
        <f t="shared" si="0"/>
        <v>BAVM 236 </v>
      </c>
      <c r="B22" s="5" t="str">
        <f t="shared" si="1"/>
        <v>I</v>
      </c>
      <c r="C22" s="34">
        <f t="shared" si="2"/>
        <v>46683.353999999999</v>
      </c>
      <c r="D22" s="12" t="str">
        <f t="shared" si="3"/>
        <v>vis</v>
      </c>
      <c r="E22" s="42">
        <f>VLOOKUP(C22,'A (old)'!C$21:E$973,3,FALSE)</f>
        <v>19069.007164383911</v>
      </c>
      <c r="F22" s="5" t="s">
        <v>50</v>
      </c>
      <c r="G22" s="12" t="str">
        <f t="shared" si="4"/>
        <v>46683.354</v>
      </c>
      <c r="H22" s="34">
        <f t="shared" si="5"/>
        <v>19069</v>
      </c>
      <c r="I22" s="43" t="s">
        <v>89</v>
      </c>
      <c r="J22" s="44" t="s">
        <v>90</v>
      </c>
      <c r="K22" s="43">
        <v>19069</v>
      </c>
      <c r="L22" s="43" t="s">
        <v>91</v>
      </c>
      <c r="M22" s="44" t="s">
        <v>53</v>
      </c>
      <c r="N22" s="44"/>
      <c r="O22" s="45" t="s">
        <v>57</v>
      </c>
      <c r="P22" s="46" t="s">
        <v>58</v>
      </c>
    </row>
    <row r="23" spans="1:16" ht="12.75" customHeight="1" thickBot="1" x14ac:dyDescent="0.25">
      <c r="A23" s="34" t="str">
        <f t="shared" si="0"/>
        <v>BAVM 236 </v>
      </c>
      <c r="B23" s="5" t="str">
        <f t="shared" si="1"/>
        <v>I</v>
      </c>
      <c r="C23" s="34">
        <f t="shared" si="2"/>
        <v>46976.457999999999</v>
      </c>
      <c r="D23" s="12" t="str">
        <f t="shared" si="3"/>
        <v>vis</v>
      </c>
      <c r="E23" s="42">
        <f>VLOOKUP(C23,'A (old)'!C$21:E$973,3,FALSE)</f>
        <v>19346.003547697823</v>
      </c>
      <c r="F23" s="5" t="s">
        <v>50</v>
      </c>
      <c r="G23" s="12" t="str">
        <f t="shared" si="4"/>
        <v>46976.458</v>
      </c>
      <c r="H23" s="34">
        <f t="shared" si="5"/>
        <v>19346</v>
      </c>
      <c r="I23" s="43" t="s">
        <v>92</v>
      </c>
      <c r="J23" s="44" t="s">
        <v>93</v>
      </c>
      <c r="K23" s="43">
        <v>19346</v>
      </c>
      <c r="L23" s="43" t="s">
        <v>94</v>
      </c>
      <c r="M23" s="44" t="s">
        <v>53</v>
      </c>
      <c r="N23" s="44"/>
      <c r="O23" s="45" t="s">
        <v>57</v>
      </c>
      <c r="P23" s="46" t="s">
        <v>58</v>
      </c>
    </row>
    <row r="24" spans="1:16" ht="12.75" customHeight="1" thickBot="1" x14ac:dyDescent="0.25">
      <c r="A24" s="34" t="str">
        <f t="shared" si="0"/>
        <v>BAVM 236 </v>
      </c>
      <c r="B24" s="5" t="str">
        <f t="shared" si="1"/>
        <v>I</v>
      </c>
      <c r="C24" s="34">
        <f t="shared" si="2"/>
        <v>47029.366999999998</v>
      </c>
      <c r="D24" s="12" t="str">
        <f t="shared" si="3"/>
        <v>vis</v>
      </c>
      <c r="E24" s="42">
        <f>VLOOKUP(C24,'A (old)'!C$21:E$973,3,FALSE)</f>
        <v>19396.004918012644</v>
      </c>
      <c r="F24" s="5" t="s">
        <v>50</v>
      </c>
      <c r="G24" s="12" t="str">
        <f t="shared" si="4"/>
        <v>47029.367</v>
      </c>
      <c r="H24" s="34">
        <f t="shared" si="5"/>
        <v>19396</v>
      </c>
      <c r="I24" s="43" t="s">
        <v>95</v>
      </c>
      <c r="J24" s="44" t="s">
        <v>96</v>
      </c>
      <c r="K24" s="43">
        <v>19396</v>
      </c>
      <c r="L24" s="43" t="s">
        <v>97</v>
      </c>
      <c r="M24" s="44" t="s">
        <v>53</v>
      </c>
      <c r="N24" s="44"/>
      <c r="O24" s="45" t="s">
        <v>57</v>
      </c>
      <c r="P24" s="46" t="s">
        <v>58</v>
      </c>
    </row>
    <row r="25" spans="1:16" ht="12.75" customHeight="1" thickBot="1" x14ac:dyDescent="0.25">
      <c r="A25" s="34" t="str">
        <f t="shared" si="0"/>
        <v>BAVM 236 </v>
      </c>
      <c r="B25" s="5" t="str">
        <f t="shared" si="1"/>
        <v>I</v>
      </c>
      <c r="C25" s="34">
        <f t="shared" si="2"/>
        <v>47030.400999999998</v>
      </c>
      <c r="D25" s="12" t="str">
        <f t="shared" si="3"/>
        <v>vis</v>
      </c>
      <c r="E25" s="42">
        <f>VLOOKUP(C25,'A (old)'!C$21:E$973,3,FALSE)</f>
        <v>19396.982094237967</v>
      </c>
      <c r="F25" s="5" t="s">
        <v>50</v>
      </c>
      <c r="G25" s="12" t="str">
        <f t="shared" si="4"/>
        <v>47030.401</v>
      </c>
      <c r="H25" s="34">
        <f t="shared" si="5"/>
        <v>19397</v>
      </c>
      <c r="I25" s="43" t="s">
        <v>98</v>
      </c>
      <c r="J25" s="44" t="s">
        <v>99</v>
      </c>
      <c r="K25" s="43">
        <v>19397</v>
      </c>
      <c r="L25" s="43" t="s">
        <v>100</v>
      </c>
      <c r="M25" s="44" t="s">
        <v>53</v>
      </c>
      <c r="N25" s="44"/>
      <c r="O25" s="45" t="s">
        <v>57</v>
      </c>
      <c r="P25" s="46" t="s">
        <v>58</v>
      </c>
    </row>
    <row r="26" spans="1:16" ht="12.75" customHeight="1" thickBot="1" x14ac:dyDescent="0.25">
      <c r="A26" s="34" t="str">
        <f t="shared" si="0"/>
        <v>BAVM 236 </v>
      </c>
      <c r="B26" s="5" t="str">
        <f t="shared" si="1"/>
        <v>I</v>
      </c>
      <c r="C26" s="34">
        <f t="shared" si="2"/>
        <v>47411.334999999999</v>
      </c>
      <c r="D26" s="12" t="str">
        <f t="shared" si="3"/>
        <v>vis</v>
      </c>
      <c r="E26" s="42">
        <f>VLOOKUP(C26,'A (old)'!C$21:E$973,3,FALSE)</f>
        <v>19756.981754021872</v>
      </c>
      <c r="F26" s="5" t="s">
        <v>50</v>
      </c>
      <c r="G26" s="12" t="str">
        <f t="shared" si="4"/>
        <v>47411.335</v>
      </c>
      <c r="H26" s="34">
        <f t="shared" si="5"/>
        <v>19757</v>
      </c>
      <c r="I26" s="43" t="s">
        <v>101</v>
      </c>
      <c r="J26" s="44" t="s">
        <v>102</v>
      </c>
      <c r="K26" s="43">
        <v>19757</v>
      </c>
      <c r="L26" s="43" t="s">
        <v>100</v>
      </c>
      <c r="M26" s="44" t="s">
        <v>53</v>
      </c>
      <c r="N26" s="44"/>
      <c r="O26" s="45" t="s">
        <v>57</v>
      </c>
      <c r="P26" s="46" t="s">
        <v>58</v>
      </c>
    </row>
    <row r="27" spans="1:16" ht="12.75" customHeight="1" thickBot="1" x14ac:dyDescent="0.25">
      <c r="A27" s="34" t="str">
        <f t="shared" si="0"/>
        <v>BAVM 236 </v>
      </c>
      <c r="B27" s="5" t="str">
        <f t="shared" si="1"/>
        <v>I</v>
      </c>
      <c r="C27" s="34">
        <f t="shared" si="2"/>
        <v>48068.445</v>
      </c>
      <c r="D27" s="12" t="str">
        <f t="shared" si="3"/>
        <v>vis</v>
      </c>
      <c r="E27" s="42">
        <f>VLOOKUP(C27,'A (old)'!C$21:E$973,3,FALSE)</f>
        <v>20377.980080347701</v>
      </c>
      <c r="F27" s="5" t="s">
        <v>50</v>
      </c>
      <c r="G27" s="12" t="str">
        <f t="shared" si="4"/>
        <v>48068.445</v>
      </c>
      <c r="H27" s="34">
        <f t="shared" si="5"/>
        <v>20378</v>
      </c>
      <c r="I27" s="43" t="s">
        <v>103</v>
      </c>
      <c r="J27" s="44" t="s">
        <v>104</v>
      </c>
      <c r="K27" s="43">
        <v>20378</v>
      </c>
      <c r="L27" s="43" t="s">
        <v>105</v>
      </c>
      <c r="M27" s="44" t="s">
        <v>53</v>
      </c>
      <c r="N27" s="44"/>
      <c r="O27" s="45" t="s">
        <v>57</v>
      </c>
      <c r="P27" s="46" t="s">
        <v>58</v>
      </c>
    </row>
    <row r="28" spans="1:16" ht="12.75" customHeight="1" thickBot="1" x14ac:dyDescent="0.25">
      <c r="A28" s="34" t="str">
        <f t="shared" si="0"/>
        <v> BBS 118 </v>
      </c>
      <c r="B28" s="5" t="str">
        <f t="shared" si="1"/>
        <v>II</v>
      </c>
      <c r="C28" s="34">
        <f t="shared" si="2"/>
        <v>50988.430999999997</v>
      </c>
      <c r="D28" s="12" t="str">
        <f t="shared" si="3"/>
        <v>vis</v>
      </c>
      <c r="E28" s="42">
        <f>VLOOKUP(C28,'A (old)'!C$21:E$973,3,FALSE)</f>
        <v>23137.497389313998</v>
      </c>
      <c r="F28" s="5" t="s">
        <v>50</v>
      </c>
      <c r="G28" s="12" t="str">
        <f t="shared" si="4"/>
        <v>50988.431</v>
      </c>
      <c r="H28" s="34">
        <f t="shared" si="5"/>
        <v>23137.5</v>
      </c>
      <c r="I28" s="43" t="s">
        <v>106</v>
      </c>
      <c r="J28" s="44" t="s">
        <v>107</v>
      </c>
      <c r="K28" s="43">
        <v>23137.5</v>
      </c>
      <c r="L28" s="43" t="s">
        <v>52</v>
      </c>
      <c r="M28" s="44" t="s">
        <v>108</v>
      </c>
      <c r="N28" s="44" t="s">
        <v>109</v>
      </c>
      <c r="O28" s="45" t="s">
        <v>110</v>
      </c>
      <c r="P28" s="45" t="s">
        <v>111</v>
      </c>
    </row>
    <row r="29" spans="1:16" ht="12.75" customHeight="1" thickBot="1" x14ac:dyDescent="0.25">
      <c r="A29" s="34" t="str">
        <f t="shared" si="0"/>
        <v>OEJV 0074 </v>
      </c>
      <c r="B29" s="5" t="str">
        <f t="shared" si="1"/>
        <v>I</v>
      </c>
      <c r="C29" s="34">
        <f t="shared" si="2"/>
        <v>52054.520600000003</v>
      </c>
      <c r="D29" s="12" t="str">
        <f t="shared" si="3"/>
        <v>vis</v>
      </c>
      <c r="E29" s="42">
        <f>VLOOKUP(C29,'A (old)'!C$21:E$973,3,FALSE)</f>
        <v>24144.999721211814</v>
      </c>
      <c r="F29" s="5" t="s">
        <v>50</v>
      </c>
      <c r="G29" s="12" t="str">
        <f t="shared" si="4"/>
        <v>52054.52060</v>
      </c>
      <c r="H29" s="34">
        <f t="shared" si="5"/>
        <v>24145</v>
      </c>
      <c r="I29" s="43" t="s">
        <v>112</v>
      </c>
      <c r="J29" s="44" t="s">
        <v>113</v>
      </c>
      <c r="K29" s="43">
        <v>24145</v>
      </c>
      <c r="L29" s="43" t="s">
        <v>114</v>
      </c>
      <c r="M29" s="44" t="s">
        <v>115</v>
      </c>
      <c r="N29" s="44" t="s">
        <v>116</v>
      </c>
      <c r="O29" s="45" t="s">
        <v>117</v>
      </c>
      <c r="P29" s="46" t="s">
        <v>118</v>
      </c>
    </row>
    <row r="30" spans="1:16" x14ac:dyDescent="0.2">
      <c r="B30" s="5"/>
      <c r="F30" s="5"/>
    </row>
    <row r="31" spans="1:16" x14ac:dyDescent="0.2">
      <c r="B31" s="5"/>
      <c r="F31" s="5"/>
    </row>
    <row r="32" spans="1:16" x14ac:dyDescent="0.2">
      <c r="B32" s="5"/>
      <c r="F32" s="5"/>
    </row>
    <row r="33" spans="2:6" x14ac:dyDescent="0.2">
      <c r="B33" s="5"/>
      <c r="F33" s="5"/>
    </row>
    <row r="34" spans="2:6" x14ac:dyDescent="0.2">
      <c r="B34" s="5"/>
      <c r="F34" s="5"/>
    </row>
    <row r="35" spans="2:6" x14ac:dyDescent="0.2">
      <c r="B35" s="5"/>
      <c r="F35" s="5"/>
    </row>
    <row r="36" spans="2:6" x14ac:dyDescent="0.2">
      <c r="B36" s="5"/>
      <c r="F36" s="5"/>
    </row>
    <row r="37" spans="2:6" x14ac:dyDescent="0.2">
      <c r="B37" s="5"/>
      <c r="F37" s="5"/>
    </row>
    <row r="38" spans="2:6" x14ac:dyDescent="0.2">
      <c r="B38" s="5"/>
      <c r="F38" s="5"/>
    </row>
    <row r="39" spans="2:6" x14ac:dyDescent="0.2">
      <c r="B39" s="5"/>
      <c r="F39" s="5"/>
    </row>
    <row r="40" spans="2:6" x14ac:dyDescent="0.2">
      <c r="B40" s="5"/>
      <c r="F40" s="5"/>
    </row>
    <row r="41" spans="2:6" x14ac:dyDescent="0.2">
      <c r="B41" s="5"/>
      <c r="F41" s="5"/>
    </row>
    <row r="42" spans="2:6" x14ac:dyDescent="0.2">
      <c r="B42" s="5"/>
      <c r="F42" s="5"/>
    </row>
    <row r="43" spans="2:6" x14ac:dyDescent="0.2">
      <c r="B43" s="5"/>
      <c r="F43" s="5"/>
    </row>
    <row r="44" spans="2:6" x14ac:dyDescent="0.2">
      <c r="B44" s="5"/>
      <c r="F44" s="5"/>
    </row>
    <row r="45" spans="2:6" x14ac:dyDescent="0.2">
      <c r="B45" s="5"/>
      <c r="F45" s="5"/>
    </row>
    <row r="46" spans="2:6" x14ac:dyDescent="0.2">
      <c r="B46" s="5"/>
      <c r="F46" s="5"/>
    </row>
    <row r="47" spans="2:6" x14ac:dyDescent="0.2">
      <c r="B47" s="5"/>
      <c r="F47" s="5"/>
    </row>
    <row r="48" spans="2: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</sheetData>
  <phoneticPr fontId="7" type="noConversion"/>
  <hyperlinks>
    <hyperlink ref="A3" r:id="rId1"/>
    <hyperlink ref="P11" r:id="rId2" display="http://www.bav-astro.de/sfs/BAVM_link.php?BAVMnr=236"/>
    <hyperlink ref="P12" r:id="rId3" display="http://www.bav-astro.de/sfs/BAVM_link.php?BAVMnr=236"/>
    <hyperlink ref="P13" r:id="rId4" display="http://www.bav-astro.de/sfs/BAVM_link.php?BAVMnr=236"/>
    <hyperlink ref="P14" r:id="rId5" display="http://www.bav-astro.de/sfs/BAVM_link.php?BAVMnr=236"/>
    <hyperlink ref="P15" r:id="rId6" display="http://www.bav-astro.de/sfs/BAVM_link.php?BAVMnr=236"/>
    <hyperlink ref="P16" r:id="rId7" display="http://www.bav-astro.de/sfs/BAVM_link.php?BAVMnr=236"/>
    <hyperlink ref="P17" r:id="rId8" display="http://www.bav-astro.de/sfs/BAVM_link.php?BAVMnr=236"/>
    <hyperlink ref="P18" r:id="rId9" display="http://www.bav-astro.de/sfs/BAVM_link.php?BAVMnr=236"/>
    <hyperlink ref="P19" r:id="rId10" display="http://www.bav-astro.de/sfs/BAVM_link.php?BAVMnr=236"/>
    <hyperlink ref="P20" r:id="rId11" display="http://www.bav-astro.de/sfs/BAVM_link.php?BAVMnr=236"/>
    <hyperlink ref="P21" r:id="rId12" display="http://www.bav-astro.de/sfs/BAVM_link.php?BAVMnr=236"/>
    <hyperlink ref="P22" r:id="rId13" display="http://www.bav-astro.de/sfs/BAVM_link.php?BAVMnr=236"/>
    <hyperlink ref="P23" r:id="rId14" display="http://www.bav-astro.de/sfs/BAVM_link.php?BAVMnr=236"/>
    <hyperlink ref="P24" r:id="rId15" display="http://www.bav-astro.de/sfs/BAVM_link.php?BAVMnr=236"/>
    <hyperlink ref="P25" r:id="rId16" display="http://www.bav-astro.de/sfs/BAVM_link.php?BAVMnr=236"/>
    <hyperlink ref="P26" r:id="rId17" display="http://www.bav-astro.de/sfs/BAVM_link.php?BAVMnr=236"/>
    <hyperlink ref="P27" r:id="rId18" display="http://www.bav-astro.de/sfs/BAVM_link.php?BAVMnr=236"/>
    <hyperlink ref="P29" r:id="rId19" display="http://var.astro.cz/oejv/issues/oejv0074.pdf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workbookViewId="0">
      <selection activeCell="C21" sqref="C21:C4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31</v>
      </c>
    </row>
    <row r="2" spans="1:7" x14ac:dyDescent="0.2">
      <c r="A2" t="s">
        <v>24</v>
      </c>
      <c r="B2" s="10" t="s">
        <v>30</v>
      </c>
    </row>
    <row r="4" spans="1:7" x14ac:dyDescent="0.2">
      <c r="A4" s="7" t="s">
        <v>0</v>
      </c>
      <c r="C4" s="3">
        <v>26505.465</v>
      </c>
      <c r="D4" s="4">
        <v>1.0581510000000001</v>
      </c>
    </row>
    <row r="6" spans="1:7" x14ac:dyDescent="0.2">
      <c r="A6" s="7" t="s">
        <v>1</v>
      </c>
    </row>
    <row r="7" spans="1:7" x14ac:dyDescent="0.2">
      <c r="A7" t="s">
        <v>2</v>
      </c>
      <c r="C7">
        <f>+C4</f>
        <v>26505.465</v>
      </c>
    </row>
    <row r="8" spans="1:7" x14ac:dyDescent="0.2">
      <c r="A8" t="s">
        <v>3</v>
      </c>
      <c r="C8">
        <f>+D4</f>
        <v>1.0581510000000001</v>
      </c>
    </row>
    <row r="9" spans="1:7" x14ac:dyDescent="0.2">
      <c r="A9" s="11" t="s">
        <v>32</v>
      </c>
      <c r="B9" s="12"/>
      <c r="C9" s="13">
        <v>8</v>
      </c>
      <c r="D9" s="12" t="s">
        <v>33</v>
      </c>
      <c r="E9" s="12"/>
    </row>
    <row r="10" spans="1:7" ht="13.5" thickBot="1" x14ac:dyDescent="0.25">
      <c r="A10" s="12"/>
      <c r="B10" s="12"/>
      <c r="C10" s="6" t="s">
        <v>20</v>
      </c>
      <c r="D10" s="6" t="s">
        <v>21</v>
      </c>
      <c r="E10" s="12"/>
    </row>
    <row r="11" spans="1:7" x14ac:dyDescent="0.2">
      <c r="A11" s="12" t="s">
        <v>16</v>
      </c>
      <c r="B11" s="12"/>
      <c r="C11" s="14">
        <f ca="1">INTERCEPT(INDIRECT($G$11):G992,INDIRECT($F$11):F992)</f>
        <v>4.1116818638643471E-3</v>
      </c>
      <c r="D11" s="5"/>
      <c r="E11" s="12"/>
      <c r="F11" s="15" t="str">
        <f>"F"&amp;E19</f>
        <v>F22</v>
      </c>
      <c r="G11" s="16" t="str">
        <f>"G"&amp;E19</f>
        <v>G22</v>
      </c>
    </row>
    <row r="12" spans="1:7" x14ac:dyDescent="0.2">
      <c r="A12" s="12" t="s">
        <v>17</v>
      </c>
      <c r="B12" s="12"/>
      <c r="C12" s="14">
        <f ca="1">SLOPE(INDIRECT($G$11):G992,INDIRECT($F$11):F992)</f>
        <v>-3.8402232553580132E-7</v>
      </c>
      <c r="D12" s="5"/>
      <c r="E12" s="12"/>
    </row>
    <row r="13" spans="1:7" x14ac:dyDescent="0.2">
      <c r="A13" s="12" t="s">
        <v>19</v>
      </c>
      <c r="B13" s="12"/>
      <c r="C13" s="5" t="s">
        <v>14</v>
      </c>
      <c r="D13" s="5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7" t="s">
        <v>18</v>
      </c>
      <c r="B15" s="12"/>
      <c r="C15" s="18">
        <f ca="1">(C7+C11)+(C8+C12)*INT(MAX(F21:F3533))</f>
        <v>52054.515734462817</v>
      </c>
      <c r="D15" s="19" t="s">
        <v>34</v>
      </c>
      <c r="E15" s="20">
        <f ca="1">TODAY()+15018.5-B9/24</f>
        <v>60320.5</v>
      </c>
    </row>
    <row r="16" spans="1:7" x14ac:dyDescent="0.2">
      <c r="A16" s="21" t="s">
        <v>4</v>
      </c>
      <c r="B16" s="12"/>
      <c r="C16" s="22">
        <f ca="1">+C8+C12</f>
        <v>1.0581506159776746</v>
      </c>
      <c r="D16" s="19" t="s">
        <v>35</v>
      </c>
      <c r="E16" s="20">
        <f ca="1">ROUND(2*(E15-C15)/C16,0)/2+1</f>
        <v>7812.5</v>
      </c>
    </row>
    <row r="17" spans="1:17" ht="13.5" thickBot="1" x14ac:dyDescent="0.25">
      <c r="A17" s="19" t="s">
        <v>29</v>
      </c>
      <c r="B17" s="12"/>
      <c r="C17" s="12">
        <f>COUNT(C21:C2191)</f>
        <v>20</v>
      </c>
      <c r="D17" s="19" t="s">
        <v>36</v>
      </c>
      <c r="E17" s="23">
        <f ca="1">+C15+C16*E16-15018.5-C9/24</f>
        <v>45302.484088455065</v>
      </c>
    </row>
    <row r="18" spans="1:17" x14ac:dyDescent="0.2">
      <c r="A18" s="21" t="s">
        <v>5</v>
      </c>
      <c r="B18" s="12"/>
      <c r="C18" s="24">
        <f ca="1">+C15</f>
        <v>52054.515734462817</v>
      </c>
      <c r="D18" s="25">
        <f ca="1">+C16</f>
        <v>1.0581506159776746</v>
      </c>
      <c r="E18" s="26" t="s">
        <v>37</v>
      </c>
    </row>
    <row r="19" spans="1:17" ht="13.5" thickTop="1" x14ac:dyDescent="0.2">
      <c r="A19" s="27" t="s">
        <v>38</v>
      </c>
      <c r="E19" s="28">
        <v>22</v>
      </c>
    </row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48</v>
      </c>
      <c r="I20" s="9" t="s">
        <v>51</v>
      </c>
      <c r="J20" s="9" t="s">
        <v>45</v>
      </c>
      <c r="K20" s="9" t="s">
        <v>41</v>
      </c>
      <c r="L20" s="9" t="s">
        <v>119</v>
      </c>
      <c r="M20" s="9" t="s">
        <v>120</v>
      </c>
      <c r="N20" s="9" t="s">
        <v>121</v>
      </c>
      <c r="O20" s="9" t="s">
        <v>23</v>
      </c>
      <c r="P20" s="8" t="s">
        <v>22</v>
      </c>
      <c r="Q20" s="6" t="s">
        <v>15</v>
      </c>
    </row>
    <row r="21" spans="1:17" x14ac:dyDescent="0.2">
      <c r="A21" t="s">
        <v>12</v>
      </c>
      <c r="B21" s="5"/>
      <c r="C21" s="32">
        <v>26505.465</v>
      </c>
      <c r="D21" s="32" t="s">
        <v>14</v>
      </c>
      <c r="E21">
        <f t="shared" ref="E21:E40" si="0">+(C21-C$7)/C$8</f>
        <v>0</v>
      </c>
      <c r="F21">
        <f t="shared" ref="F21:F40" si="1">ROUND(2*E21,0)/2</f>
        <v>0</v>
      </c>
      <c r="G21">
        <f t="shared" ref="G21:G40" si="2">+C21-(C$7+F21*C$8)</f>
        <v>0</v>
      </c>
      <c r="H21">
        <f>+G21</f>
        <v>0</v>
      </c>
      <c r="O21">
        <f t="shared" ref="O21:O40" ca="1" si="3">+C$11+C$12*F21</f>
        <v>4.1116818638643471E-3</v>
      </c>
      <c r="Q21" s="2">
        <f t="shared" ref="Q21:Q40" si="4">+C21-15018.5</f>
        <v>11486.965</v>
      </c>
    </row>
    <row r="22" spans="1:17" x14ac:dyDescent="0.2">
      <c r="A22" t="s">
        <v>58</v>
      </c>
      <c r="B22" s="5" t="s">
        <v>40</v>
      </c>
      <c r="C22" s="32">
        <v>37584.277000000002</v>
      </c>
      <c r="D22" s="32" t="s">
        <v>51</v>
      </c>
      <c r="E22">
        <f t="shared" si="0"/>
        <v>10469.972622054887</v>
      </c>
      <c r="F22">
        <f t="shared" si="1"/>
        <v>10470</v>
      </c>
      <c r="G22">
        <f t="shared" si="2"/>
        <v>-2.8969999999389984E-2</v>
      </c>
      <c r="I22">
        <f t="shared" ref="I22:I39" si="5">G22</f>
        <v>-2.8969999999389984E-2</v>
      </c>
      <c r="O22">
        <f t="shared" ca="1" si="3"/>
        <v>9.0968115504507299E-5</v>
      </c>
      <c r="Q22" s="2">
        <f t="shared" si="4"/>
        <v>22565.777000000002</v>
      </c>
    </row>
    <row r="23" spans="1:17" x14ac:dyDescent="0.2">
      <c r="A23" t="s">
        <v>58</v>
      </c>
      <c r="B23" s="5" t="s">
        <v>40</v>
      </c>
      <c r="C23" s="32">
        <v>38640.373</v>
      </c>
      <c r="D23" s="32" t="s">
        <v>51</v>
      </c>
      <c r="E23">
        <f t="shared" si="0"/>
        <v>11468.030555185413</v>
      </c>
      <c r="F23">
        <f t="shared" si="1"/>
        <v>11468</v>
      </c>
      <c r="G23">
        <f t="shared" si="2"/>
        <v>3.233199999522185E-2</v>
      </c>
      <c r="I23">
        <f t="shared" si="5"/>
        <v>3.233199999522185E-2</v>
      </c>
      <c r="O23">
        <f t="shared" ca="1" si="3"/>
        <v>-2.9228616538022265E-4</v>
      </c>
      <c r="Q23" s="2">
        <f t="shared" si="4"/>
        <v>23621.873</v>
      </c>
    </row>
    <row r="24" spans="1:17" x14ac:dyDescent="0.2">
      <c r="A24" t="s">
        <v>58</v>
      </c>
      <c r="B24" s="5" t="s">
        <v>40</v>
      </c>
      <c r="C24" s="34">
        <v>41517.436000000002</v>
      </c>
      <c r="D24" s="34" t="s">
        <v>51</v>
      </c>
      <c r="E24">
        <f t="shared" si="0"/>
        <v>14186.983710264414</v>
      </c>
      <c r="F24">
        <f t="shared" si="1"/>
        <v>14187</v>
      </c>
      <c r="G24">
        <f t="shared" si="2"/>
        <v>-1.7237000000022817E-2</v>
      </c>
      <c r="I24">
        <f t="shared" si="5"/>
        <v>-1.7237000000022817E-2</v>
      </c>
      <c r="O24">
        <f t="shared" ca="1" si="3"/>
        <v>-1.3364428685120663E-3</v>
      </c>
      <c r="Q24" s="2">
        <f t="shared" si="4"/>
        <v>26498.936000000002</v>
      </c>
    </row>
    <row r="25" spans="1:17" x14ac:dyDescent="0.2">
      <c r="A25" t="s">
        <v>58</v>
      </c>
      <c r="B25" s="5" t="s">
        <v>40</v>
      </c>
      <c r="C25" s="34">
        <v>41536.498</v>
      </c>
      <c r="D25" s="34" t="s">
        <v>51</v>
      </c>
      <c r="E25">
        <f t="shared" si="0"/>
        <v>14204.9981524376</v>
      </c>
      <c r="F25">
        <f t="shared" si="1"/>
        <v>14205</v>
      </c>
      <c r="G25">
        <f t="shared" si="2"/>
        <v>-1.9549999997252598E-3</v>
      </c>
      <c r="I25">
        <f t="shared" si="5"/>
        <v>-1.9549999997252598E-3</v>
      </c>
      <c r="O25">
        <f t="shared" ca="1" si="3"/>
        <v>-1.3433552703717103E-3</v>
      </c>
      <c r="Q25" s="2">
        <f t="shared" si="4"/>
        <v>26517.998</v>
      </c>
    </row>
    <row r="26" spans="1:17" x14ac:dyDescent="0.2">
      <c r="A26" t="s">
        <v>58</v>
      </c>
      <c r="B26" s="5" t="s">
        <v>40</v>
      </c>
      <c r="C26" s="34">
        <v>43078.243000000002</v>
      </c>
      <c r="D26" s="34" t="s">
        <v>51</v>
      </c>
      <c r="E26">
        <f t="shared" si="0"/>
        <v>15662.01610167169</v>
      </c>
      <c r="F26">
        <f t="shared" si="1"/>
        <v>15662</v>
      </c>
      <c r="G26">
        <f t="shared" si="2"/>
        <v>1.7038000005413778E-2</v>
      </c>
      <c r="I26">
        <f t="shared" si="5"/>
        <v>1.7038000005413778E-2</v>
      </c>
      <c r="O26">
        <f t="shared" ca="1" si="3"/>
        <v>-1.9028757986773734E-3</v>
      </c>
      <c r="Q26" s="2">
        <f t="shared" si="4"/>
        <v>28059.743000000002</v>
      </c>
    </row>
    <row r="27" spans="1:17" x14ac:dyDescent="0.2">
      <c r="A27" t="s">
        <v>58</v>
      </c>
      <c r="B27" s="5" t="s">
        <v>40</v>
      </c>
      <c r="C27" s="34">
        <v>44516.275000000001</v>
      </c>
      <c r="D27" s="34" t="s">
        <v>51</v>
      </c>
      <c r="E27">
        <f t="shared" si="0"/>
        <v>17021.020629380873</v>
      </c>
      <c r="F27">
        <f t="shared" si="1"/>
        <v>17021</v>
      </c>
      <c r="G27">
        <f t="shared" si="2"/>
        <v>2.1828999997524079E-2</v>
      </c>
      <c r="I27">
        <f t="shared" si="5"/>
        <v>2.1828999997524079E-2</v>
      </c>
      <c r="O27">
        <f t="shared" ca="1" si="3"/>
        <v>-2.4247621390805271E-3</v>
      </c>
      <c r="Q27" s="2">
        <f t="shared" si="4"/>
        <v>29497.775000000001</v>
      </c>
    </row>
    <row r="28" spans="1:17" x14ac:dyDescent="0.2">
      <c r="A28" t="s">
        <v>58</v>
      </c>
      <c r="B28" s="5" t="s">
        <v>40</v>
      </c>
      <c r="C28" s="34">
        <v>45193.440000000002</v>
      </c>
      <c r="D28" s="34" t="s">
        <v>51</v>
      </c>
      <c r="E28">
        <f t="shared" si="0"/>
        <v>17660.971827272289</v>
      </c>
      <c r="F28">
        <f t="shared" si="1"/>
        <v>17661</v>
      </c>
      <c r="G28">
        <f t="shared" si="2"/>
        <v>-2.9811000000336207E-2</v>
      </c>
      <c r="I28">
        <f t="shared" si="5"/>
        <v>-2.9811000000336207E-2</v>
      </c>
      <c r="O28">
        <f t="shared" ca="1" si="3"/>
        <v>-2.6705364274234398E-3</v>
      </c>
      <c r="Q28" s="2">
        <f t="shared" si="4"/>
        <v>30174.940000000002</v>
      </c>
    </row>
    <row r="29" spans="1:17" x14ac:dyDescent="0.2">
      <c r="A29" t="s">
        <v>58</v>
      </c>
      <c r="B29" s="5" t="s">
        <v>40</v>
      </c>
      <c r="C29" s="34">
        <v>45280.239000000001</v>
      </c>
      <c r="D29" s="34" t="s">
        <v>51</v>
      </c>
      <c r="E29">
        <f t="shared" si="0"/>
        <v>17743.000762651078</v>
      </c>
      <c r="F29">
        <f t="shared" si="1"/>
        <v>17743</v>
      </c>
      <c r="G29">
        <f t="shared" si="2"/>
        <v>8.0700000398792326E-4</v>
      </c>
      <c r="I29">
        <f t="shared" si="5"/>
        <v>8.0700000398792326E-4</v>
      </c>
      <c r="O29">
        <f t="shared" ca="1" si="3"/>
        <v>-2.7020262581173753E-3</v>
      </c>
      <c r="Q29" s="2">
        <f t="shared" si="4"/>
        <v>30261.739000000001</v>
      </c>
    </row>
    <row r="30" spans="1:17" x14ac:dyDescent="0.2">
      <c r="A30" t="s">
        <v>58</v>
      </c>
      <c r="B30" s="5" t="s">
        <v>40</v>
      </c>
      <c r="C30" s="34">
        <v>46595.525999999998</v>
      </c>
      <c r="D30" s="34" t="s">
        <v>51</v>
      </c>
      <c r="E30">
        <f t="shared" si="0"/>
        <v>18986.005778003324</v>
      </c>
      <c r="F30">
        <f t="shared" si="1"/>
        <v>18986</v>
      </c>
      <c r="G30">
        <f t="shared" si="2"/>
        <v>6.1139999961596914E-3</v>
      </c>
      <c r="I30">
        <f t="shared" si="5"/>
        <v>6.1139999961596914E-3</v>
      </c>
      <c r="O30">
        <f t="shared" ca="1" si="3"/>
        <v>-3.1793660087583763E-3</v>
      </c>
      <c r="Q30" s="2">
        <f t="shared" si="4"/>
        <v>31577.025999999998</v>
      </c>
    </row>
    <row r="31" spans="1:17" x14ac:dyDescent="0.2">
      <c r="A31" t="s">
        <v>58</v>
      </c>
      <c r="B31" s="5" t="s">
        <v>40</v>
      </c>
      <c r="C31" s="34">
        <v>46612.468000000001</v>
      </c>
      <c r="D31" s="34" t="s">
        <v>51</v>
      </c>
      <c r="E31">
        <f t="shared" si="0"/>
        <v>19002.016725401194</v>
      </c>
      <c r="F31">
        <f t="shared" si="1"/>
        <v>19002</v>
      </c>
      <c r="G31">
        <f t="shared" si="2"/>
        <v>1.7698000003292691E-2</v>
      </c>
      <c r="I31">
        <f t="shared" si="5"/>
        <v>1.7698000003292691E-2</v>
      </c>
      <c r="O31">
        <f t="shared" ca="1" si="3"/>
        <v>-3.1855103659669494E-3</v>
      </c>
      <c r="Q31" s="2">
        <f t="shared" si="4"/>
        <v>31593.968000000001</v>
      </c>
    </row>
    <row r="32" spans="1:17" x14ac:dyDescent="0.2">
      <c r="A32" t="s">
        <v>58</v>
      </c>
      <c r="B32" s="5" t="s">
        <v>40</v>
      </c>
      <c r="C32" s="34">
        <v>46613.483999999997</v>
      </c>
      <c r="D32" s="34" t="s">
        <v>51</v>
      </c>
      <c r="E32">
        <f t="shared" si="0"/>
        <v>19002.976890821818</v>
      </c>
      <c r="F32">
        <f t="shared" si="1"/>
        <v>19003</v>
      </c>
      <c r="G32">
        <f t="shared" si="2"/>
        <v>-2.4453000005451031E-2</v>
      </c>
      <c r="I32">
        <f t="shared" si="5"/>
        <v>-2.4453000005451031E-2</v>
      </c>
      <c r="O32">
        <f t="shared" ca="1" si="3"/>
        <v>-3.1858943882924857E-3</v>
      </c>
      <c r="Q32" s="2">
        <f t="shared" si="4"/>
        <v>31594.983999999997</v>
      </c>
    </row>
    <row r="33" spans="1:31" x14ac:dyDescent="0.2">
      <c r="A33" t="s">
        <v>58</v>
      </c>
      <c r="B33" s="5" t="s">
        <v>40</v>
      </c>
      <c r="C33" s="34">
        <v>46683.353999999999</v>
      </c>
      <c r="D33" s="34" t="s">
        <v>51</v>
      </c>
      <c r="E33">
        <f t="shared" si="0"/>
        <v>19069.007164383911</v>
      </c>
      <c r="F33">
        <f t="shared" si="1"/>
        <v>19069</v>
      </c>
      <c r="G33">
        <f t="shared" si="2"/>
        <v>7.5809999980265275E-3</v>
      </c>
      <c r="I33">
        <f t="shared" si="5"/>
        <v>7.5809999980265275E-3</v>
      </c>
      <c r="O33">
        <f t="shared" ca="1" si="3"/>
        <v>-3.2112398617778481E-3</v>
      </c>
      <c r="Q33" s="2">
        <f t="shared" si="4"/>
        <v>31664.853999999999</v>
      </c>
    </row>
    <row r="34" spans="1:31" x14ac:dyDescent="0.2">
      <c r="A34" t="s">
        <v>58</v>
      </c>
      <c r="B34" s="5" t="s">
        <v>40</v>
      </c>
      <c r="C34" s="34">
        <v>46976.457999999999</v>
      </c>
      <c r="D34" s="34" t="s">
        <v>51</v>
      </c>
      <c r="E34">
        <f t="shared" si="0"/>
        <v>19346.003547697823</v>
      </c>
      <c r="F34">
        <f t="shared" si="1"/>
        <v>19346</v>
      </c>
      <c r="G34">
        <f t="shared" si="2"/>
        <v>3.7539999975706451E-3</v>
      </c>
      <c r="I34">
        <f t="shared" si="5"/>
        <v>3.7539999975706451E-3</v>
      </c>
      <c r="O34">
        <f t="shared" ca="1" si="3"/>
        <v>-3.3176140459512653E-3</v>
      </c>
      <c r="Q34" s="2">
        <f t="shared" si="4"/>
        <v>31957.957999999999</v>
      </c>
    </row>
    <row r="35" spans="1:31" x14ac:dyDescent="0.2">
      <c r="A35" t="s">
        <v>58</v>
      </c>
      <c r="B35" s="5" t="s">
        <v>40</v>
      </c>
      <c r="C35" s="34">
        <v>47029.366999999998</v>
      </c>
      <c r="D35" s="34" t="s">
        <v>51</v>
      </c>
      <c r="E35">
        <f t="shared" si="0"/>
        <v>19396.004918012644</v>
      </c>
      <c r="F35">
        <f t="shared" si="1"/>
        <v>19396</v>
      </c>
      <c r="G35">
        <f t="shared" si="2"/>
        <v>5.2040000009583309E-3</v>
      </c>
      <c r="I35">
        <f t="shared" si="5"/>
        <v>5.2040000009583309E-3</v>
      </c>
      <c r="O35">
        <f t="shared" ca="1" si="3"/>
        <v>-3.3368151622280556E-3</v>
      </c>
      <c r="Q35" s="2">
        <f t="shared" si="4"/>
        <v>32010.866999999998</v>
      </c>
    </row>
    <row r="36" spans="1:31" x14ac:dyDescent="0.2">
      <c r="A36" t="s">
        <v>58</v>
      </c>
      <c r="B36" s="5" t="s">
        <v>40</v>
      </c>
      <c r="C36" s="34">
        <v>47030.400999999998</v>
      </c>
      <c r="D36" s="34" t="s">
        <v>51</v>
      </c>
      <c r="E36">
        <f t="shared" si="0"/>
        <v>19396.982094237967</v>
      </c>
      <c r="F36">
        <f t="shared" si="1"/>
        <v>19397</v>
      </c>
      <c r="G36">
        <f t="shared" si="2"/>
        <v>-1.8947000004118308E-2</v>
      </c>
      <c r="I36">
        <f t="shared" si="5"/>
        <v>-1.8947000004118308E-2</v>
      </c>
      <c r="O36">
        <f t="shared" ca="1" si="3"/>
        <v>-3.3371991845535911E-3</v>
      </c>
      <c r="Q36" s="2">
        <f t="shared" si="4"/>
        <v>32011.900999999998</v>
      </c>
    </row>
    <row r="37" spans="1:31" x14ac:dyDescent="0.2">
      <c r="A37" t="s">
        <v>58</v>
      </c>
      <c r="B37" s="5" t="s">
        <v>40</v>
      </c>
      <c r="C37" s="34">
        <v>47411.334999999999</v>
      </c>
      <c r="D37" s="34" t="s">
        <v>51</v>
      </c>
      <c r="E37">
        <f t="shared" si="0"/>
        <v>19756.981754021872</v>
      </c>
      <c r="F37">
        <f t="shared" si="1"/>
        <v>19757</v>
      </c>
      <c r="G37">
        <f t="shared" si="2"/>
        <v>-1.9307000002299901E-2</v>
      </c>
      <c r="I37">
        <f t="shared" si="5"/>
        <v>-1.9307000002299901E-2</v>
      </c>
      <c r="O37">
        <f t="shared" ca="1" si="3"/>
        <v>-3.4754472217464792E-3</v>
      </c>
      <c r="Q37" s="2">
        <f t="shared" si="4"/>
        <v>32392.834999999999</v>
      </c>
    </row>
    <row r="38" spans="1:31" x14ac:dyDescent="0.2">
      <c r="A38" t="s">
        <v>58</v>
      </c>
      <c r="B38" s="5" t="s">
        <v>40</v>
      </c>
      <c r="C38" s="34">
        <v>48068.445</v>
      </c>
      <c r="D38" s="34" t="s">
        <v>51</v>
      </c>
      <c r="E38">
        <f t="shared" si="0"/>
        <v>20377.980080347701</v>
      </c>
      <c r="F38">
        <f t="shared" si="1"/>
        <v>20378</v>
      </c>
      <c r="G38">
        <f t="shared" si="2"/>
        <v>-2.1077999997942243E-2</v>
      </c>
      <c r="I38">
        <f t="shared" si="5"/>
        <v>-2.1077999997942243E-2</v>
      </c>
      <c r="O38">
        <f t="shared" ca="1" si="3"/>
        <v>-3.7139250859042124E-3</v>
      </c>
      <c r="Q38" s="2">
        <f t="shared" si="4"/>
        <v>33049.945</v>
      </c>
    </row>
    <row r="39" spans="1:31" x14ac:dyDescent="0.2">
      <c r="A39" t="s">
        <v>26</v>
      </c>
      <c r="B39" s="5" t="s">
        <v>28</v>
      </c>
      <c r="C39" s="32">
        <v>50988.430999999997</v>
      </c>
      <c r="D39" s="32"/>
      <c r="E39">
        <f t="shared" si="0"/>
        <v>23137.497389313998</v>
      </c>
      <c r="F39">
        <f t="shared" si="1"/>
        <v>23137.5</v>
      </c>
      <c r="G39">
        <f t="shared" si="2"/>
        <v>-2.7625000075204298E-3</v>
      </c>
      <c r="I39">
        <f t="shared" si="5"/>
        <v>-2.7625000075204298E-3</v>
      </c>
      <c r="O39">
        <f t="shared" ca="1" si="3"/>
        <v>-4.7736346932202561E-3</v>
      </c>
      <c r="Q39" s="2">
        <f t="shared" si="4"/>
        <v>35969.930999999997</v>
      </c>
      <c r="AA39">
        <v>7</v>
      </c>
      <c r="AB39">
        <v>0.01</v>
      </c>
      <c r="AC39" t="s">
        <v>25</v>
      </c>
      <c r="AE39" t="s">
        <v>27</v>
      </c>
    </row>
    <row r="40" spans="1:31" x14ac:dyDescent="0.2">
      <c r="A40" s="29" t="s">
        <v>39</v>
      </c>
      <c r="B40" s="30" t="s">
        <v>40</v>
      </c>
      <c r="C40" s="31">
        <v>52054.520600000003</v>
      </c>
      <c r="D40" s="31" t="s">
        <v>41</v>
      </c>
      <c r="E40">
        <f t="shared" si="0"/>
        <v>24144.999721211814</v>
      </c>
      <c r="F40">
        <f t="shared" si="1"/>
        <v>24145</v>
      </c>
      <c r="G40">
        <f t="shared" si="2"/>
        <v>-2.9499999800464138E-4</v>
      </c>
      <c r="K40">
        <f>G40</f>
        <v>-2.9499999800464138E-4</v>
      </c>
      <c r="O40">
        <f t="shared" ca="1" si="3"/>
        <v>-5.1605371861975762E-3</v>
      </c>
      <c r="Q40" s="2">
        <f t="shared" si="4"/>
        <v>37036.020600000003</v>
      </c>
    </row>
    <row r="41" spans="1:31" x14ac:dyDescent="0.2">
      <c r="B41" s="5"/>
      <c r="D41" s="5"/>
    </row>
    <row r="42" spans="1:31" x14ac:dyDescent="0.2">
      <c r="B42" s="5"/>
      <c r="D42" s="5"/>
    </row>
    <row r="43" spans="1:31" x14ac:dyDescent="0.2">
      <c r="D43" s="5"/>
    </row>
    <row r="44" spans="1:31" x14ac:dyDescent="0.2">
      <c r="D44" s="5"/>
    </row>
    <row r="45" spans="1:31" x14ac:dyDescent="0.2">
      <c r="D45" s="5"/>
    </row>
    <row r="46" spans="1:31" x14ac:dyDescent="0.2">
      <c r="D46" s="5"/>
    </row>
  </sheetData>
  <sheetProtection sheet="1" objects="1" scenarios="1"/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A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2024-01-11T04:30:29Z</dcterms:modified>
</cp:coreProperties>
</file>