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B9EBC95-AC82-4700-87BE-7FB00B1071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2)" sheetId="4" r:id="rId2"/>
    <sheet name="BAV" sheetId="3" r:id="rId3"/>
  </sheets>
  <calcPr calcId="181029"/>
</workbook>
</file>

<file path=xl/calcChain.xml><?xml version="1.0" encoding="utf-8"?>
<calcChain xmlns="http://schemas.openxmlformats.org/spreadsheetml/2006/main">
  <c r="C8" i="4" l="1"/>
  <c r="E21" i="4"/>
  <c r="F21" i="4"/>
  <c r="G21" i="4"/>
  <c r="C9" i="4"/>
  <c r="D9" i="4"/>
  <c r="E22" i="4"/>
  <c r="F22" i="4"/>
  <c r="G22" i="4"/>
  <c r="I22" i="4"/>
  <c r="E23" i="4"/>
  <c r="F23" i="4"/>
  <c r="G23" i="4"/>
  <c r="I23" i="4"/>
  <c r="E24" i="4"/>
  <c r="F24" i="4"/>
  <c r="G24" i="4"/>
  <c r="I24" i="4"/>
  <c r="E25" i="4"/>
  <c r="F25" i="4"/>
  <c r="G25" i="4"/>
  <c r="I25" i="4"/>
  <c r="E26" i="4"/>
  <c r="F26" i="4"/>
  <c r="G26" i="4"/>
  <c r="I26" i="4"/>
  <c r="E27" i="4"/>
  <c r="F27" i="4"/>
  <c r="G27" i="4"/>
  <c r="I27" i="4"/>
  <c r="E28" i="4"/>
  <c r="F28" i="4"/>
  <c r="G28" i="4"/>
  <c r="E29" i="4"/>
  <c r="F29" i="4"/>
  <c r="G29" i="4"/>
  <c r="I29" i="4"/>
  <c r="E30" i="4"/>
  <c r="F30" i="4"/>
  <c r="G30" i="4"/>
  <c r="I30" i="4"/>
  <c r="E31" i="4"/>
  <c r="F31" i="4"/>
  <c r="G31" i="4"/>
  <c r="I31" i="4"/>
  <c r="E32" i="4"/>
  <c r="F32" i="4"/>
  <c r="G32" i="4"/>
  <c r="I32" i="4"/>
  <c r="E33" i="4"/>
  <c r="F33" i="4"/>
  <c r="G33" i="4"/>
  <c r="I33" i="4"/>
  <c r="E34" i="4"/>
  <c r="F34" i="4"/>
  <c r="G34" i="4"/>
  <c r="I34" i="4"/>
  <c r="E35" i="4"/>
  <c r="F35" i="4"/>
  <c r="G35" i="4"/>
  <c r="I35" i="4"/>
  <c r="E36" i="4"/>
  <c r="F36" i="4"/>
  <c r="G36" i="4"/>
  <c r="E37" i="4"/>
  <c r="F37" i="4"/>
  <c r="G37" i="4"/>
  <c r="I37" i="4"/>
  <c r="E38" i="4"/>
  <c r="F38" i="4"/>
  <c r="G38" i="4"/>
  <c r="I38" i="4"/>
  <c r="E39" i="4"/>
  <c r="F39" i="4"/>
  <c r="G39" i="4"/>
  <c r="I39" i="4"/>
  <c r="E40" i="4"/>
  <c r="F40" i="4"/>
  <c r="G40" i="4"/>
  <c r="K40" i="4"/>
  <c r="E41" i="4"/>
  <c r="F41" i="4"/>
  <c r="G41" i="4"/>
  <c r="K41" i="4"/>
  <c r="E42" i="4"/>
  <c r="F42" i="4"/>
  <c r="G42" i="4"/>
  <c r="K42" i="4"/>
  <c r="E43" i="4"/>
  <c r="F43" i="4"/>
  <c r="G43" i="4"/>
  <c r="K43" i="4"/>
  <c r="D15" i="4"/>
  <c r="F16" i="4"/>
  <c r="C17" i="4"/>
  <c r="C18" i="4"/>
  <c r="Q21" i="4"/>
  <c r="Q22" i="4"/>
  <c r="Q23" i="4"/>
  <c r="Q24" i="4"/>
  <c r="Q25" i="4"/>
  <c r="Q26" i="4"/>
  <c r="Q27" i="4"/>
  <c r="I28" i="4"/>
  <c r="Q28" i="4"/>
  <c r="Q29" i="4"/>
  <c r="Q30" i="4"/>
  <c r="Q31" i="4"/>
  <c r="Q32" i="4"/>
  <c r="Q33" i="4"/>
  <c r="Q34" i="4"/>
  <c r="Q35" i="4"/>
  <c r="I36" i="4"/>
  <c r="Q36" i="4"/>
  <c r="Q37" i="4"/>
  <c r="Q38" i="4"/>
  <c r="Q39" i="4"/>
  <c r="Q40" i="4"/>
  <c r="Q41" i="4"/>
  <c r="Q42" i="4"/>
  <c r="Q43" i="4"/>
  <c r="C17" i="2"/>
  <c r="E21" i="2"/>
  <c r="F21" i="2"/>
  <c r="G2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I29" i="2"/>
  <c r="E30" i="2"/>
  <c r="F30" i="2"/>
  <c r="G30" i="2"/>
  <c r="I30" i="2"/>
  <c r="E31" i="2"/>
  <c r="F31" i="2"/>
  <c r="G31" i="2"/>
  <c r="I31" i="2"/>
  <c r="E32" i="2"/>
  <c r="F32" i="2"/>
  <c r="G32" i="2"/>
  <c r="I32" i="2"/>
  <c r="E33" i="2"/>
  <c r="F33" i="2"/>
  <c r="G33" i="2"/>
  <c r="I33" i="2"/>
  <c r="E34" i="2"/>
  <c r="F34" i="2"/>
  <c r="G34" i="2"/>
  <c r="I34" i="2"/>
  <c r="E35" i="2"/>
  <c r="F35" i="2"/>
  <c r="G35" i="2"/>
  <c r="I35" i="2"/>
  <c r="E36" i="2"/>
  <c r="F36" i="2"/>
  <c r="G36" i="2"/>
  <c r="I36" i="2"/>
  <c r="E37" i="2"/>
  <c r="F37" i="2"/>
  <c r="G37" i="2"/>
  <c r="I37" i="2"/>
  <c r="E38" i="2"/>
  <c r="F38" i="2"/>
  <c r="G38" i="2"/>
  <c r="I38" i="2"/>
  <c r="E39" i="2"/>
  <c r="F39" i="2"/>
  <c r="G39" i="2"/>
  <c r="I39" i="2"/>
  <c r="E40" i="2"/>
  <c r="F40" i="2"/>
  <c r="G40" i="2"/>
  <c r="K40" i="2"/>
  <c r="E42" i="2"/>
  <c r="F42" i="2"/>
  <c r="G42" i="2"/>
  <c r="K42" i="2"/>
  <c r="E41" i="2"/>
  <c r="F41" i="2"/>
  <c r="G41" i="2"/>
  <c r="K41" i="2"/>
  <c r="E43" i="2"/>
  <c r="F43" i="2"/>
  <c r="G43" i="2"/>
  <c r="K43" i="2"/>
  <c r="D9" i="2"/>
  <c r="C9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2" i="2"/>
  <c r="Q41" i="2"/>
  <c r="Q43" i="2"/>
  <c r="E19" i="3"/>
  <c r="F16" i="2"/>
  <c r="F17" i="2" s="1"/>
  <c r="H31" i="3"/>
  <c r="B31" i="3"/>
  <c r="G31" i="3"/>
  <c r="C31" i="3"/>
  <c r="E31" i="3"/>
  <c r="D31" i="3"/>
  <c r="A31" i="3"/>
  <c r="H30" i="3"/>
  <c r="G30" i="3"/>
  <c r="C30" i="3"/>
  <c r="E30" i="3"/>
  <c r="D30" i="3"/>
  <c r="B30" i="3"/>
  <c r="A30" i="3"/>
  <c r="H29" i="3"/>
  <c r="G29" i="3"/>
  <c r="C29" i="3"/>
  <c r="E29" i="3"/>
  <c r="D29" i="3"/>
  <c r="B29" i="3"/>
  <c r="A29" i="3"/>
  <c r="H28" i="3"/>
  <c r="B28" i="3"/>
  <c r="G28" i="3"/>
  <c r="D28" i="3"/>
  <c r="C28" i="3"/>
  <c r="E28" i="3"/>
  <c r="A28" i="3"/>
  <c r="H27" i="3"/>
  <c r="B27" i="3"/>
  <c r="G27" i="3"/>
  <c r="C27" i="3"/>
  <c r="E27" i="3"/>
  <c r="D27" i="3"/>
  <c r="A27" i="3"/>
  <c r="H26" i="3"/>
  <c r="G26" i="3"/>
  <c r="C26" i="3"/>
  <c r="E26" i="3"/>
  <c r="D26" i="3"/>
  <c r="B26" i="3"/>
  <c r="A26" i="3"/>
  <c r="H25" i="3"/>
  <c r="G25" i="3"/>
  <c r="C25" i="3"/>
  <c r="E25" i="3"/>
  <c r="D25" i="3"/>
  <c r="B25" i="3"/>
  <c r="A25" i="3"/>
  <c r="H24" i="3"/>
  <c r="B24" i="3"/>
  <c r="G24" i="3"/>
  <c r="D24" i="3"/>
  <c r="C24" i="3"/>
  <c r="E24" i="3"/>
  <c r="A24" i="3"/>
  <c r="H23" i="3"/>
  <c r="B23" i="3"/>
  <c r="G23" i="3"/>
  <c r="D23" i="3"/>
  <c r="C23" i="3"/>
  <c r="E23" i="3"/>
  <c r="A23" i="3"/>
  <c r="H22" i="3"/>
  <c r="G22" i="3"/>
  <c r="C22" i="3"/>
  <c r="E22" i="3"/>
  <c r="D22" i="3"/>
  <c r="B22" i="3"/>
  <c r="A22" i="3"/>
  <c r="H21" i="3"/>
  <c r="G21" i="3"/>
  <c r="C21" i="3"/>
  <c r="E21" i="3"/>
  <c r="D21" i="3"/>
  <c r="B21" i="3"/>
  <c r="A21" i="3"/>
  <c r="H20" i="3"/>
  <c r="B20" i="3"/>
  <c r="G20" i="3"/>
  <c r="D20" i="3"/>
  <c r="C20" i="3"/>
  <c r="E20" i="3"/>
  <c r="A20" i="3"/>
  <c r="H19" i="3"/>
  <c r="B19" i="3"/>
  <c r="G19" i="3"/>
  <c r="D19" i="3"/>
  <c r="C19" i="3"/>
  <c r="A19" i="3"/>
  <c r="H18" i="3"/>
  <c r="G18" i="3"/>
  <c r="C18" i="3"/>
  <c r="E18" i="3"/>
  <c r="D18" i="3"/>
  <c r="B18" i="3"/>
  <c r="A18" i="3"/>
  <c r="H17" i="3"/>
  <c r="G17" i="3"/>
  <c r="C17" i="3"/>
  <c r="E17" i="3"/>
  <c r="D17" i="3"/>
  <c r="B17" i="3"/>
  <c r="A17" i="3"/>
  <c r="H16" i="3"/>
  <c r="B16" i="3"/>
  <c r="G16" i="3"/>
  <c r="D16" i="3"/>
  <c r="C16" i="3"/>
  <c r="E16" i="3"/>
  <c r="A16" i="3"/>
  <c r="H15" i="3"/>
  <c r="B15" i="3"/>
  <c r="G15" i="3"/>
  <c r="D15" i="3"/>
  <c r="C15" i="3"/>
  <c r="E15" i="3"/>
  <c r="A15" i="3"/>
  <c r="H14" i="3"/>
  <c r="G14" i="3"/>
  <c r="C14" i="3"/>
  <c r="E14" i="3"/>
  <c r="D14" i="3"/>
  <c r="B14" i="3"/>
  <c r="A14" i="3"/>
  <c r="H13" i="3"/>
  <c r="G13" i="3"/>
  <c r="C13" i="3"/>
  <c r="E13" i="3"/>
  <c r="D13" i="3"/>
  <c r="B13" i="3"/>
  <c r="A13" i="3"/>
  <c r="H12" i="3"/>
  <c r="B12" i="3"/>
  <c r="G12" i="3"/>
  <c r="D12" i="3"/>
  <c r="C12" i="3"/>
  <c r="E12" i="3"/>
  <c r="A12" i="3"/>
  <c r="H11" i="3"/>
  <c r="B11" i="3"/>
  <c r="G11" i="3"/>
  <c r="D11" i="3"/>
  <c r="C11" i="3"/>
  <c r="E11" i="3"/>
  <c r="A11" i="3"/>
  <c r="D15" i="2"/>
  <c r="C18" i="2"/>
  <c r="D16" i="2"/>
  <c r="I21" i="2"/>
  <c r="D16" i="4"/>
  <c r="I21" i="4"/>
  <c r="C11" i="2"/>
  <c r="C12" i="2"/>
  <c r="C11" i="4"/>
  <c r="C12" i="4"/>
  <c r="C16" i="4" l="1"/>
  <c r="O42" i="4"/>
  <c r="O30" i="4"/>
  <c r="O22" i="4"/>
  <c r="O38" i="4"/>
  <c r="O32" i="4"/>
  <c r="O35" i="4"/>
  <c r="O24" i="4"/>
  <c r="O23" i="4"/>
  <c r="O25" i="4"/>
  <c r="O33" i="4"/>
  <c r="O37" i="4"/>
  <c r="O28" i="4"/>
  <c r="O40" i="4"/>
  <c r="O36" i="4"/>
  <c r="O31" i="4"/>
  <c r="O29" i="4"/>
  <c r="O34" i="4"/>
  <c r="O39" i="4"/>
  <c r="O21" i="4"/>
  <c r="O26" i="4"/>
  <c r="O41" i="4"/>
  <c r="O43" i="4"/>
  <c r="O27" i="4"/>
  <c r="C16" i="2"/>
  <c r="O37" i="2"/>
  <c r="O33" i="2"/>
  <c r="O25" i="2"/>
  <c r="O27" i="2"/>
  <c r="O32" i="2"/>
  <c r="O38" i="2"/>
  <c r="O22" i="2"/>
  <c r="O34" i="2"/>
  <c r="O26" i="2"/>
  <c r="O41" i="2"/>
  <c r="O40" i="2"/>
  <c r="O31" i="2"/>
  <c r="O21" i="2"/>
  <c r="O36" i="2"/>
  <c r="O42" i="2"/>
  <c r="O43" i="2"/>
  <c r="O35" i="2"/>
  <c r="O39" i="2"/>
  <c r="O30" i="2"/>
  <c r="O24" i="2"/>
  <c r="O28" i="2"/>
  <c r="O23" i="2"/>
  <c r="O29" i="2"/>
  <c r="F18" i="4"/>
  <c r="F17" i="4"/>
  <c r="D18" i="2" l="1"/>
  <c r="F18" i="2"/>
  <c r="F19" i="2" s="1"/>
  <c r="D18" i="4"/>
  <c r="F19" i="4"/>
</calcChain>
</file>

<file path=xl/sharedStrings.xml><?xml version="1.0" encoding="utf-8"?>
<sst xmlns="http://schemas.openxmlformats.org/spreadsheetml/2006/main" count="377" uniqueCount="117">
  <si>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</si>
  <si>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</si>
  <si>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</si>
  <si>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</si>
  <si>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</si>
  <si>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</si>
  <si>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</si>
  <si>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</si>
  <si>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</si>
  <si>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</si>
  <si>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</si>
  <si>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</si>
  <si>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</si>
  <si>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</si>
  <si>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</si>
  <si>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</si>
  <si>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</si>
  <si>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</si>
  <si>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</si>
  <si>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</si>
  <si>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</si>
  <si>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</si>
  <si>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</si>
  <si>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Type of system</t>
  </si>
  <si>
    <t>EA</t>
  </si>
  <si>
    <t>I</t>
  </si>
  <si>
    <t>II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</si>
  <si>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</si>
  <si>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</si>
  <si>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</si>
  <si>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</si>
  <si>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</si>
  <si>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</si>
  <si>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IBVS 5761</t>
  </si>
  <si>
    <t>IBVS 6084</t>
  </si>
  <si>
    <t>V0997 Aql / GSC 0486-2942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</si>
  <si>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</si>
  <si>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</si>
  <si>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</si>
  <si>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</si>
  <si>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</si>
  <si>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</si>
  <si>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</si>
  <si>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</si>
  <si>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</si>
  <si>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</si>
  <si>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</si>
  <si>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2425503.36 </t>
  </si>
  <si>
    <t> 13.09.1928 20:38 </t>
  </si>
  <si>
    <t> 0.02 </t>
  </si>
  <si>
    <t>P </t>
  </si>
  <si>
    <t> H.Gessner </t>
  </si>
  <si>
    <t> VSS 7.88 </t>
  </si>
  <si>
    <t>2426149.48 </t>
  </si>
  <si>
    <t> 21.06.1930 23:31 </t>
  </si>
  <si>
    <t> -0.00 </t>
  </si>
  <si>
    <t>2426499.46 </t>
  </si>
  <si>
    <t> 06.06.1931 23:02 </t>
  </si>
  <si>
    <t> -0.02 </t>
  </si>
  <si>
    <t>2426946.38 </t>
  </si>
  <si>
    <t> 26.08.1932 21:07 </t>
  </si>
  <si>
    <t> -0.01 </t>
  </si>
  <si>
    <t>2431374.30 </t>
  </si>
  <si>
    <t> 10.10.1944 19:12 </t>
  </si>
  <si>
    <t>2431652.47 </t>
  </si>
  <si>
    <t> 15.07.1945 23:16 </t>
  </si>
  <si>
    <t>2431670.43 </t>
  </si>
  <si>
    <t> 02.08.1945 22:19 </t>
  </si>
  <si>
    <t> 0.00 </t>
  </si>
  <si>
    <t>2433856.53 </t>
  </si>
  <si>
    <t> 29.07.1951 00:43 </t>
  </si>
  <si>
    <t>2436403.40 </t>
  </si>
  <si>
    <t> 18.07.1958 21:36 </t>
  </si>
  <si>
    <t> -0.04 </t>
  </si>
  <si>
    <t>2437191.35 </t>
  </si>
  <si>
    <t> 13.09.1960 20:24 </t>
  </si>
  <si>
    <t> -0.03 </t>
  </si>
  <si>
    <t>2437559.34 </t>
  </si>
  <si>
    <t> 16.09.1961 20:09 </t>
  </si>
  <si>
    <t>2437577.33 </t>
  </si>
  <si>
    <t> 04.10.1961 19:55 </t>
  </si>
  <si>
    <t> 0.06 </t>
  </si>
  <si>
    <t>2437586.30 </t>
  </si>
  <si>
    <t> 13.10.1961 19:12 </t>
  </si>
  <si>
    <t>2437837.43 </t>
  </si>
  <si>
    <t> 21.06.1962 22:19 </t>
  </si>
  <si>
    <t> -0.09 </t>
  </si>
  <si>
    <t>2437855.44 </t>
  </si>
  <si>
    <t> 09.07.1962 22:33 </t>
  </si>
  <si>
    <t>2437907.51 </t>
  </si>
  <si>
    <t> 31.08.1962 00:14 </t>
  </si>
  <si>
    <t>2437934.40 </t>
  </si>
  <si>
    <t> 26.09.1962 21:36 </t>
  </si>
  <si>
    <t>2437936.28 </t>
  </si>
  <si>
    <t> 28.09.1962 18:43 </t>
  </si>
  <si>
    <t> 0.04 </t>
  </si>
  <si>
    <t>2437961.34 </t>
  </si>
  <si>
    <t> 23.10.1962 20:09 </t>
  </si>
  <si>
    <t>2453935.4474 </t>
  </si>
  <si>
    <t> 18.07.2006 22:44 </t>
  </si>
  <si>
    <t> -0.0467 </t>
  </si>
  <si>
    <t>C </t>
  </si>
  <si>
    <t>o</t>
  </si>
  <si>
    <t> W. Moschner </t>
  </si>
  <si>
    <t>BAVM 183 </t>
  </si>
  <si>
    <t>2456489.5151 </t>
  </si>
  <si>
    <t> 16.07.2013 00:21 </t>
  </si>
  <si>
    <t> -0.0449 </t>
  </si>
  <si>
    <t>-I</t>
  </si>
  <si>
    <t> F.Agerer </t>
  </si>
  <si>
    <t>BAVM 232 </t>
  </si>
  <si>
    <t>s5</t>
  </si>
  <si>
    <t>s6</t>
  </si>
  <si>
    <t>s7</t>
  </si>
  <si>
    <t>Start of linear fit (row #)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</si>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</sst>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0" xfId="0" applyNumberFormat="1" applyAlignment="1"/>
    <xf numFmtId="172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16" fillId="0" borderId="0" xfId="7" applyAlignment="1" applyProtection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0" xfId="0" quotePrefix="1">
      <alignment vertical="top"/>
    </xf>
    <xf numFmtId="0" fontId="5" fillId="2" borderId="9" xfId="0" applyFont="1" applyFill="1" applyBorder="1" applyAlignment="1">
      <alignment horizontal="left" vertical="top" wrapText="1" indent="1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right" vertical="top" wrapText="1"/>
    </xf>
    <xf numFmtId="0" fontId="16" fillId="2" borderId="9" xfId="7" applyFill="1" applyBorder="1" applyAlignment="1" applyProtection="1">
      <alignment horizontal="right" vertical="top" wrapText="1"/>
    </xf>
    <xf numFmtId="0" fontId="13" fillId="0" borderId="0" xfId="0" applyFont="1" applyAlignment="1"/>
    <xf numFmtId="0" fontId="12" fillId="0" borderId="0" xfId="0" applyFont="1" applyAlignment="1">
      <alignment horizontal="center" vertical="top"/>
    </xf>
    <xf numFmtId="0" fontId="17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quotePrefix="1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V0997 Aql- O-C Diagr.</a:t>
            </a:r>
          </a:p>
        </c:rich>
      </c:tx>
      <c:layout>
        <c:manualLayout>
          <c:xMode val="edge"/>
          <c:yMode val="edge"/>
          <c:x val="0.3421056578454008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7458273483641"/>
          <c:y val="0.15"/>
          <c:w val="0.7781962029673209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Active!$H$21:$H$967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3-4A06-A285-513DD9C7BD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Active!$D$21:$D$967</c:f>
                <c:numCache>
                  <c:formatCode>General</c:formatCode>
                  <c:ptCount val="9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Active!$D$21:$D$967</c:f>
                <c:numCache>
                  <c:formatCode>General</c:formatCode>
                  <c:ptCount val="9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Active!$I$21:$I$967</c:f>
              <c:numCache>
                <c:formatCode>0.0000</c:formatCode>
                <c:ptCount val="947"/>
                <c:pt idx="0">
                  <c:v>-0.18390799999906449</c:v>
                </c:pt>
                <c:pt idx="1">
                  <c:v>-0.20846800000072108</c:v>
                </c:pt>
                <c:pt idx="2">
                  <c:v>-0.22343800000089686</c:v>
                </c:pt>
                <c:pt idx="3">
                  <c:v>-0.22009199999956763</c:v>
                </c:pt>
                <c:pt idx="4">
                  <c:v>-0.18517400000200723</c:v>
                </c:pt>
                <c:pt idx="5">
                  <c:v>-0.21630399999776273</c:v>
                </c:pt>
                <c:pt idx="6">
                  <c:v>-0.20476399999824935</c:v>
                </c:pt>
                <c:pt idx="7">
                  <c:v>-0.22719200000574347</c:v>
                </c:pt>
                <c:pt idx="8">
                  <c:v>-0.24366600000212202</c:v>
                </c:pt>
                <c:pt idx="9">
                  <c:v>-0.23105999999825144</c:v>
                </c:pt>
                <c:pt idx="10">
                  <c:v>-0.18448999999964144</c:v>
                </c:pt>
                <c:pt idx="11">
                  <c:v>-0.14294999999401625</c:v>
                </c:pt>
                <c:pt idx="12">
                  <c:v>-0.14717999999993481</c:v>
                </c:pt>
                <c:pt idx="13">
                  <c:v>-0.29561999999714317</c:v>
                </c:pt>
                <c:pt idx="14">
                  <c:v>-0.2340799999947194</c:v>
                </c:pt>
                <c:pt idx="15">
                  <c:v>-0.21461399999679998</c:v>
                </c:pt>
                <c:pt idx="16">
                  <c:v>-0.2473039999968023</c:v>
                </c:pt>
                <c:pt idx="17">
                  <c:v>-0.16215000000374857</c:v>
                </c:pt>
                <c:pt idx="18">
                  <c:v>-0.22999400000117021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3-4A06-A285-513DD9C7BD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Active!$J$21:$J$967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23-4A06-A285-513DD9C7BD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Active!$K$21:$K$967</c:f>
              <c:numCache>
                <c:formatCode>General</c:formatCode>
                <c:ptCount val="947"/>
                <c:pt idx="19" formatCode="0.0000">
                  <c:v>-0.25199399999837624</c:v>
                </c:pt>
                <c:pt idx="20" formatCode="0.0000">
                  <c:v>-0.25199399999837624</c:v>
                </c:pt>
                <c:pt idx="21" formatCode="0.0000">
                  <c:v>-0.25015200000052573</c:v>
                </c:pt>
                <c:pt idx="22" formatCode="0.0000">
                  <c:v>-0.25015200000052573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23-4A06-A285-513DD9C7BD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Active!$L$21:$L$967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23-4A06-A285-513DD9C7BD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Active!$M$21:$M$967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23-4A06-A285-513DD9C7BD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Active!$N$21:$N$967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23-4A06-A285-513DD9C7BD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-7651</c:v>
                </c:pt>
                <c:pt idx="1">
                  <c:v>-7471</c:v>
                </c:pt>
                <c:pt idx="2">
                  <c:v>-7373.5</c:v>
                </c:pt>
                <c:pt idx="3">
                  <c:v>-7249</c:v>
                </c:pt>
                <c:pt idx="4">
                  <c:v>-6015.5</c:v>
                </c:pt>
                <c:pt idx="5">
                  <c:v>-5938</c:v>
                </c:pt>
                <c:pt idx="6">
                  <c:v>-5933</c:v>
                </c:pt>
                <c:pt idx="7">
                  <c:v>-5324</c:v>
                </c:pt>
                <c:pt idx="8">
                  <c:v>-4614.5</c:v>
                </c:pt>
                <c:pt idx="9">
                  <c:v>-4395</c:v>
                </c:pt>
                <c:pt idx="10">
                  <c:v>-4292.5</c:v>
                </c:pt>
                <c:pt idx="11">
                  <c:v>-4287.5</c:v>
                </c:pt>
                <c:pt idx="12">
                  <c:v>-4285</c:v>
                </c:pt>
                <c:pt idx="13">
                  <c:v>-4215</c:v>
                </c:pt>
                <c:pt idx="14">
                  <c:v>-4210</c:v>
                </c:pt>
                <c:pt idx="15">
                  <c:v>-4195.5</c:v>
                </c:pt>
                <c:pt idx="16">
                  <c:v>-4188</c:v>
                </c:pt>
                <c:pt idx="17">
                  <c:v>-4187.5</c:v>
                </c:pt>
                <c:pt idx="18">
                  <c:v>-4180.5</c:v>
                </c:pt>
                <c:pt idx="19">
                  <c:v>269.5</c:v>
                </c:pt>
                <c:pt idx="20">
                  <c:v>269.5</c:v>
                </c:pt>
                <c:pt idx="21">
                  <c:v>981</c:v>
                </c:pt>
                <c:pt idx="22">
                  <c:v>981</c:v>
                </c:pt>
              </c:numCache>
            </c:numRef>
          </c:xVal>
          <c:yVal>
            <c:numRef>
              <c:f>Active!$O$21:$O$967</c:f>
              <c:numCache>
                <c:formatCode>General</c:formatCode>
                <c:ptCount val="947"/>
                <c:pt idx="0">
                  <c:v>-0.19815225701081965</c:v>
                </c:pt>
                <c:pt idx="1">
                  <c:v>-0.19918277717155672</c:v>
                </c:pt>
                <c:pt idx="2">
                  <c:v>-0.19974097559195597</c:v>
                </c:pt>
                <c:pt idx="3">
                  <c:v>-0.20045375203646579</c:v>
                </c:pt>
                <c:pt idx="4">
                  <c:v>-0.20751567769351678</c:v>
                </c:pt>
                <c:pt idx="5">
                  <c:v>-0.20795937387383412</c:v>
                </c:pt>
                <c:pt idx="6">
                  <c:v>-0.2079879994338546</c:v>
                </c:pt>
                <c:pt idx="7">
                  <c:v>-0.21147459264434837</c:v>
                </c:pt>
                <c:pt idx="8">
                  <c:v>-0.21553655961125365</c:v>
                </c:pt>
                <c:pt idx="9">
                  <c:v>-0.21679322169615248</c:v>
                </c:pt>
                <c:pt idx="10">
                  <c:v>-0.21738004567657221</c:v>
                </c:pt>
                <c:pt idx="11">
                  <c:v>-0.21740867123659266</c:v>
                </c:pt>
                <c:pt idx="12">
                  <c:v>-0.2174229840166029</c:v>
                </c:pt>
                <c:pt idx="13">
                  <c:v>-0.21782374185688955</c:v>
                </c:pt>
                <c:pt idx="14">
                  <c:v>-0.21785236741691003</c:v>
                </c:pt>
                <c:pt idx="15">
                  <c:v>-0.21793538154096939</c:v>
                </c:pt>
                <c:pt idx="16">
                  <c:v>-0.21797831988100011</c:v>
                </c:pt>
                <c:pt idx="17">
                  <c:v>-0.21798118243700215</c:v>
                </c:pt>
                <c:pt idx="18">
                  <c:v>-0.21802125822103083</c:v>
                </c:pt>
                <c:pt idx="19">
                  <c:v>-0.24349800663925289</c:v>
                </c:pt>
                <c:pt idx="20">
                  <c:v>-0.24349800663925289</c:v>
                </c:pt>
                <c:pt idx="21">
                  <c:v>-0.24757142383016636</c:v>
                </c:pt>
                <c:pt idx="22">
                  <c:v>-0.24757142383016636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23-4A06-A285-513DD9C7B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7360"/>
        <c:axId val="1"/>
      </c:scatterChart>
      <c:valAx>
        <c:axId val="684077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567856649497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77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29343042645983"/>
          <c:y val="0.91874999999999996"/>
          <c:w val="0.763158684111854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V0997 Aql- O-C Diagr.</a:t>
            </a:r>
          </a:p>
        </c:rich>
      </c:tx>
      <c:layout>
        <c:manualLayout>
          <c:xMode val="edge"/>
          <c:yMode val="edge"/>
          <c:x val="0.3421056578454008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7458273483641"/>
          <c:y val="0.15"/>
          <c:w val="0.7781962029673209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(2)'!$H$21:$H$967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5-4402-8490-E60E68E82DE6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(2)'!$D$21:$D$967</c:f>
                <c:numCache>
                  <c:formatCode>General</c:formatCode>
                  <c:ptCount val="9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'A (2)'!$D$21:$D$967</c:f>
                <c:numCache>
                  <c:formatCode>General</c:formatCode>
                  <c:ptCount val="9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(2)'!$I$21:$I$967</c:f>
              <c:numCache>
                <c:formatCode>0.0000</c:formatCode>
                <c:ptCount val="947"/>
                <c:pt idx="0">
                  <c:v>-0.18390799999906449</c:v>
                </c:pt>
                <c:pt idx="1">
                  <c:v>-0.20846800000072108</c:v>
                </c:pt>
                <c:pt idx="2">
                  <c:v>-0.22343800000089686</c:v>
                </c:pt>
                <c:pt idx="3">
                  <c:v>-0.22009199999956763</c:v>
                </c:pt>
                <c:pt idx="4">
                  <c:v>-0.18517400000200723</c:v>
                </c:pt>
                <c:pt idx="5">
                  <c:v>-0.21630399999776273</c:v>
                </c:pt>
                <c:pt idx="6">
                  <c:v>-0.20476399999824935</c:v>
                </c:pt>
                <c:pt idx="7">
                  <c:v>-0.22719200000574347</c:v>
                </c:pt>
                <c:pt idx="8">
                  <c:v>-0.24366600000212202</c:v>
                </c:pt>
                <c:pt idx="9">
                  <c:v>-0.23105999999825144</c:v>
                </c:pt>
                <c:pt idx="10">
                  <c:v>-0.18448999999964144</c:v>
                </c:pt>
                <c:pt idx="11">
                  <c:v>-0.14294999999401625</c:v>
                </c:pt>
                <c:pt idx="12">
                  <c:v>-0.14717999999993481</c:v>
                </c:pt>
                <c:pt idx="13">
                  <c:v>-0.29561999999714317</c:v>
                </c:pt>
                <c:pt idx="14">
                  <c:v>-0.2340799999947194</c:v>
                </c:pt>
                <c:pt idx="15">
                  <c:v>-0.21461399999679998</c:v>
                </c:pt>
                <c:pt idx="16">
                  <c:v>-0.2473039999968023</c:v>
                </c:pt>
                <c:pt idx="17">
                  <c:v>-0.16215000000374857</c:v>
                </c:pt>
                <c:pt idx="18">
                  <c:v>-0.22999400000117021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5-4402-8490-E60E68E82DE6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'A (2)'!$D$21:$D$39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(2)'!$J$21:$J$967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5-4402-8490-E60E68E82DE6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(2)'!$K$21:$K$967</c:f>
              <c:numCache>
                <c:formatCode>General</c:formatCode>
                <c:ptCount val="947"/>
                <c:pt idx="19" formatCode="0.0000">
                  <c:v>-0.25199399999837624</c:v>
                </c:pt>
                <c:pt idx="20" formatCode="0.0000">
                  <c:v>-0.25199399999837624</c:v>
                </c:pt>
                <c:pt idx="21" formatCode="0.0000">
                  <c:v>-0.25015200000052573</c:v>
                </c:pt>
                <c:pt idx="22" formatCode="0.0000">
                  <c:v>-0.25015200000052573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5-4402-8490-E60E68E82DE6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(2)'!$L$21:$L$967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5-4402-8490-E60E68E82DE6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(2)'!$M$21:$M$967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5-4402-8490-E60E68E82DE6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plus>
            <c:minus>
              <c:numRef>
                <c:f>'A (2)'!$D$21:$D$67</c:f>
                <c:numCache>
                  <c:formatCode>General</c:formatCode>
                  <c:ptCount val="4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0</c:v>
                  </c:pt>
                  <c:pt idx="2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(2)'!$N$21:$N$967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5-4402-8490-E60E68E82DE6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(2)'!$F$21:$F$967</c:f>
              <c:numCache>
                <c:formatCode>General</c:formatCode>
                <c:ptCount val="947"/>
                <c:pt idx="0">
                  <c:v>-15302</c:v>
                </c:pt>
                <c:pt idx="1">
                  <c:v>-14942</c:v>
                </c:pt>
                <c:pt idx="2">
                  <c:v>-14747</c:v>
                </c:pt>
                <c:pt idx="3">
                  <c:v>-14498</c:v>
                </c:pt>
                <c:pt idx="4">
                  <c:v>-12031</c:v>
                </c:pt>
                <c:pt idx="5">
                  <c:v>-11876</c:v>
                </c:pt>
                <c:pt idx="6">
                  <c:v>-11866</c:v>
                </c:pt>
                <c:pt idx="7">
                  <c:v>-10648</c:v>
                </c:pt>
                <c:pt idx="8">
                  <c:v>-9229</c:v>
                </c:pt>
                <c:pt idx="9">
                  <c:v>-8790</c:v>
                </c:pt>
                <c:pt idx="10">
                  <c:v>-8585</c:v>
                </c:pt>
                <c:pt idx="11">
                  <c:v>-8575</c:v>
                </c:pt>
                <c:pt idx="12">
                  <c:v>-8570</c:v>
                </c:pt>
                <c:pt idx="13">
                  <c:v>-8430</c:v>
                </c:pt>
                <c:pt idx="14">
                  <c:v>-8420</c:v>
                </c:pt>
                <c:pt idx="15">
                  <c:v>-8391</c:v>
                </c:pt>
                <c:pt idx="16">
                  <c:v>-8376</c:v>
                </c:pt>
                <c:pt idx="17">
                  <c:v>-8375</c:v>
                </c:pt>
                <c:pt idx="18">
                  <c:v>-8361</c:v>
                </c:pt>
                <c:pt idx="19">
                  <c:v>539</c:v>
                </c:pt>
                <c:pt idx="20">
                  <c:v>539</c:v>
                </c:pt>
                <c:pt idx="21">
                  <c:v>1962</c:v>
                </c:pt>
                <c:pt idx="22">
                  <c:v>1962</c:v>
                </c:pt>
              </c:numCache>
            </c:numRef>
          </c:xVal>
          <c:yVal>
            <c:numRef>
              <c:f>'A (2)'!$O$21:$O$967</c:f>
              <c:numCache>
                <c:formatCode>General</c:formatCode>
                <c:ptCount val="947"/>
                <c:pt idx="0">
                  <c:v>-0.19815225701081965</c:v>
                </c:pt>
                <c:pt idx="1">
                  <c:v>-0.19918277717155672</c:v>
                </c:pt>
                <c:pt idx="2">
                  <c:v>-0.19974097559195597</c:v>
                </c:pt>
                <c:pt idx="3">
                  <c:v>-0.20045375203646579</c:v>
                </c:pt>
                <c:pt idx="4">
                  <c:v>-0.20751567769351678</c:v>
                </c:pt>
                <c:pt idx="5">
                  <c:v>-0.20795937387383412</c:v>
                </c:pt>
                <c:pt idx="6">
                  <c:v>-0.2079879994338546</c:v>
                </c:pt>
                <c:pt idx="7">
                  <c:v>-0.21147459264434837</c:v>
                </c:pt>
                <c:pt idx="8">
                  <c:v>-0.21553655961125365</c:v>
                </c:pt>
                <c:pt idx="9">
                  <c:v>-0.21679322169615248</c:v>
                </c:pt>
                <c:pt idx="10">
                  <c:v>-0.21738004567657221</c:v>
                </c:pt>
                <c:pt idx="11">
                  <c:v>-0.21740867123659266</c:v>
                </c:pt>
                <c:pt idx="12">
                  <c:v>-0.2174229840166029</c:v>
                </c:pt>
                <c:pt idx="13">
                  <c:v>-0.21782374185688955</c:v>
                </c:pt>
                <c:pt idx="14">
                  <c:v>-0.21785236741691003</c:v>
                </c:pt>
                <c:pt idx="15">
                  <c:v>-0.21793538154096939</c:v>
                </c:pt>
                <c:pt idx="16">
                  <c:v>-0.21797831988100011</c:v>
                </c:pt>
                <c:pt idx="17">
                  <c:v>-0.21798118243700215</c:v>
                </c:pt>
                <c:pt idx="18">
                  <c:v>-0.21802125822103083</c:v>
                </c:pt>
                <c:pt idx="19">
                  <c:v>-0.24349800663925289</c:v>
                </c:pt>
                <c:pt idx="20">
                  <c:v>-0.24349800663925289</c:v>
                </c:pt>
                <c:pt idx="21">
                  <c:v>-0.24757142383016636</c:v>
                </c:pt>
                <c:pt idx="22">
                  <c:v>-0.24757142383016636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5-4402-8490-E60E68E8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52304"/>
        <c:axId val="1"/>
      </c:scatterChart>
      <c:valAx>
        <c:axId val="69715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567856649497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52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729343042645983"/>
          <c:y val="0.91874999999999996"/>
          <c:w val="0.93045211453831422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0</xdr:row>
      <xdr:rowOff>0</xdr:rowOff>
    </xdr:from>
    <xdr:to>
      <xdr:col>18</xdr:col>
      <xdr:colOff>409574</xdr:colOff>
      <xdr:row>18</xdr:row>
      <xdr:rowOff>133350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72D90530-77E7-47F1-8F28-B1CED1AA2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28575</xdr:colOff>
      <xdr:row>18</xdr:row>
      <xdr:rowOff>19050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2E95F453-F78D-5A63-E0F5-308CB392D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43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1.85546875" style="11" customWidth="1"/>
    <col min="4" max="4" width="9.42578125" style="11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  <c r="D1" s="41"/>
    </row>
    <row r="2" spans="1:6" x14ac:dyDescent="0.2">
      <c r="A2" t="s">
        <v>23</v>
      </c>
      <c r="B2" s="4" t="s">
        <v>24</v>
      </c>
    </row>
    <row r="4" spans="1:6" x14ac:dyDescent="0.2">
      <c r="A4" s="6" t="s">
        <v>0</v>
      </c>
      <c r="C4" s="42">
        <v>52759.87</v>
      </c>
      <c r="D4" s="43">
        <v>3.5896919999999999</v>
      </c>
    </row>
    <row r="5" spans="1:6" x14ac:dyDescent="0.2">
      <c r="A5" s="13" t="s">
        <v>31</v>
      </c>
      <c r="B5" s="38"/>
      <c r="C5" s="49">
        <v>-9.5</v>
      </c>
      <c r="D5" s="45" t="s">
        <v>32</v>
      </c>
    </row>
    <row r="6" spans="1:6" x14ac:dyDescent="0.2">
      <c r="A6" s="6" t="s">
        <v>1</v>
      </c>
    </row>
    <row r="7" spans="1:6" x14ac:dyDescent="0.2">
      <c r="A7" t="s">
        <v>2</v>
      </c>
      <c r="C7" s="50">
        <v>52968.277399999999</v>
      </c>
    </row>
    <row r="8" spans="1:6" x14ac:dyDescent="0.2">
      <c r="A8" t="s">
        <v>3</v>
      </c>
      <c r="C8" s="50">
        <v>3.5896919999999999</v>
      </c>
    </row>
    <row r="9" spans="1:6" x14ac:dyDescent="0.2">
      <c r="A9" s="31" t="s">
        <v>114</v>
      </c>
      <c r="B9" s="39">
        <v>21</v>
      </c>
      <c r="C9" s="46" t="str">
        <f>"F"&amp;B9</f>
        <v>F21</v>
      </c>
      <c r="D9" s="46" t="str">
        <f>"G"&amp;B9</f>
        <v>G21</v>
      </c>
    </row>
    <row r="10" spans="1:6" ht="13.5" thickBot="1" x14ac:dyDescent="0.25">
      <c r="C10" s="47" t="s">
        <v>19</v>
      </c>
      <c r="D10" s="47" t="s">
        <v>20</v>
      </c>
    </row>
    <row r="11" spans="1:6" x14ac:dyDescent="0.2">
      <c r="A11" t="s">
        <v>15</v>
      </c>
      <c r="C11" s="36">
        <f ca="1">INTERCEPT(INDIRECT(D9):G979,INDIRECT(C9):$F979)</f>
        <v>-0.24195508895414933</v>
      </c>
    </row>
    <row r="12" spans="1:6" x14ac:dyDescent="0.2">
      <c r="A12" t="s">
        <v>16</v>
      </c>
      <c r="C12" s="36">
        <f ca="1">SLOPE(INDIRECT(D9):G979,INDIRECT(C9):$F979)</f>
        <v>-5.7251120040948469E-6</v>
      </c>
    </row>
    <row r="13" spans="1:6" x14ac:dyDescent="0.2">
      <c r="A13" t="s">
        <v>18</v>
      </c>
      <c r="C13" s="11" t="s">
        <v>13</v>
      </c>
    </row>
    <row r="15" spans="1:6" x14ac:dyDescent="0.2">
      <c r="A15" s="3" t="s">
        <v>17</v>
      </c>
      <c r="C15" s="11">
        <v>52968.277415999997</v>
      </c>
      <c r="D15" s="11">
        <f>MAX(C21:C37)</f>
        <v>37934.400000000001</v>
      </c>
      <c r="E15" s="15" t="s">
        <v>115</v>
      </c>
      <c r="F15" s="32">
        <v>1</v>
      </c>
    </row>
    <row r="16" spans="1:6" x14ac:dyDescent="0.2">
      <c r="A16" s="6" t="s">
        <v>4</v>
      </c>
      <c r="C16" s="11">
        <f ca="1">+C8+C12</f>
        <v>3.5896862748879959</v>
      </c>
      <c r="D16" s="11">
        <f>+C$8+D$12+2*D$13*MAX(G21:G37)</f>
        <v>3.5896919999999999</v>
      </c>
      <c r="E16" s="15" t="s">
        <v>28</v>
      </c>
      <c r="F16" s="16">
        <f ca="1">NOW()+15018.5+$C$5/24</f>
        <v>60320.729883564811</v>
      </c>
    </row>
    <row r="17" spans="1:17" ht="13.5" thickBot="1" x14ac:dyDescent="0.25">
      <c r="A17" s="15" t="s">
        <v>27</v>
      </c>
      <c r="B17" s="38"/>
      <c r="C17" s="12">
        <f>COUNT(C21:C2178)</f>
        <v>23</v>
      </c>
      <c r="E17" s="15" t="s">
        <v>116</v>
      </c>
      <c r="F17" s="16">
        <f ca="1">ROUND(2*(F16-$C$7)/$C$8,0)/2+F15</f>
        <v>2049</v>
      </c>
    </row>
    <row r="18" spans="1:17" x14ac:dyDescent="0.2">
      <c r="A18" s="6" t="s">
        <v>5</v>
      </c>
      <c r="C18" s="42">
        <f>+C15</f>
        <v>52968.277415999997</v>
      </c>
      <c r="D18" s="43">
        <f ca="1">+C16</f>
        <v>3.5896862748879959</v>
      </c>
      <c r="E18" s="15" t="s">
        <v>30</v>
      </c>
      <c r="F18" s="14">
        <f ca="1">ROUND(2*(F16-$C$15)/$C$16,0)/2+F15</f>
        <v>2049</v>
      </c>
    </row>
    <row r="19" spans="1:17" ht="13.5" thickTop="1" x14ac:dyDescent="0.2">
      <c r="E19" s="15" t="s">
        <v>29</v>
      </c>
      <c r="F19" s="17">
        <f ca="1">+$C$15+$C$16*F18-15018.5-$C$5/24</f>
        <v>45305.44042657884</v>
      </c>
    </row>
    <row r="20" spans="1:17" ht="13.5" thickBot="1" x14ac:dyDescent="0.25">
      <c r="A20" s="5" t="s">
        <v>6</v>
      </c>
      <c r="B20" s="5" t="s">
        <v>7</v>
      </c>
      <c r="C20" s="47" t="s">
        <v>8</v>
      </c>
      <c r="D20" s="47" t="s">
        <v>12</v>
      </c>
      <c r="E20" s="5" t="s">
        <v>9</v>
      </c>
      <c r="F20" s="5" t="s">
        <v>10</v>
      </c>
      <c r="G20" s="5" t="s">
        <v>11</v>
      </c>
      <c r="H20" s="8" t="s">
        <v>43</v>
      </c>
      <c r="I20" s="8" t="s">
        <v>46</v>
      </c>
      <c r="J20" s="8" t="s">
        <v>40</v>
      </c>
      <c r="K20" s="8" t="s">
        <v>38</v>
      </c>
      <c r="L20" s="8" t="s">
        <v>111</v>
      </c>
      <c r="M20" s="8" t="s">
        <v>112</v>
      </c>
      <c r="N20" s="8" t="s">
        <v>113</v>
      </c>
      <c r="O20" s="8" t="s">
        <v>22</v>
      </c>
      <c r="P20" s="7" t="s">
        <v>21</v>
      </c>
      <c r="Q20" s="5" t="s">
        <v>14</v>
      </c>
    </row>
    <row r="21" spans="1:17" x14ac:dyDescent="0.2">
      <c r="A21" s="33" t="s">
        <v>52</v>
      </c>
      <c r="B21" s="40" t="s">
        <v>25</v>
      </c>
      <c r="C21" s="48">
        <v>25503.360000000001</v>
      </c>
      <c r="D21" s="48" t="s">
        <v>46</v>
      </c>
      <c r="E21" s="9">
        <f t="shared" ref="E21:E43" si="0">+(C21-C$7)/C$8</f>
        <v>-7651.0512322505665</v>
      </c>
      <c r="F21">
        <f t="shared" ref="F21:F43" si="1">ROUND(2*E21,0)/2</f>
        <v>-7651</v>
      </c>
      <c r="G21" s="10">
        <f t="shared" ref="G21:G43" si="2">+C21-(C$7+F21*C$8)</f>
        <v>-0.18390799999906449</v>
      </c>
      <c r="I21" s="10">
        <f t="shared" ref="I21:I39" si="3">G21</f>
        <v>-0.18390799999906449</v>
      </c>
      <c r="O21">
        <f t="shared" ref="O21:O43" ca="1" si="4">+C$11+C$12*F21</f>
        <v>-0.19815225701081965</v>
      </c>
      <c r="Q21" s="2">
        <f t="shared" ref="Q21:Q43" si="5">+C21-15018.5</f>
        <v>10484.86</v>
      </c>
    </row>
    <row r="22" spans="1:17" x14ac:dyDescent="0.2">
      <c r="A22" s="33" t="s">
        <v>52</v>
      </c>
      <c r="B22" s="40" t="s">
        <v>25</v>
      </c>
      <c r="C22" s="48">
        <v>26149.48</v>
      </c>
      <c r="D22" s="48" t="s">
        <v>46</v>
      </c>
      <c r="E22" s="9">
        <f t="shared" si="0"/>
        <v>-7471.0580740631785</v>
      </c>
      <c r="F22">
        <f t="shared" si="1"/>
        <v>-7471</v>
      </c>
      <c r="G22" s="10">
        <f t="shared" si="2"/>
        <v>-0.20846800000072108</v>
      </c>
      <c r="I22" s="10">
        <f t="shared" si="3"/>
        <v>-0.20846800000072108</v>
      </c>
      <c r="O22">
        <f t="shared" ca="1" si="4"/>
        <v>-0.19918277717155672</v>
      </c>
      <c r="Q22" s="2">
        <f t="shared" si="5"/>
        <v>11130.98</v>
      </c>
    </row>
    <row r="23" spans="1:17" x14ac:dyDescent="0.2">
      <c r="A23" s="33" t="s">
        <v>52</v>
      </c>
      <c r="B23" s="40" t="s">
        <v>26</v>
      </c>
      <c r="C23" s="48">
        <v>26499.46</v>
      </c>
      <c r="D23" s="48" t="s">
        <v>46</v>
      </c>
      <c r="E23" s="9">
        <f t="shared" si="0"/>
        <v>-7373.5622443373977</v>
      </c>
      <c r="F23">
        <f t="shared" si="1"/>
        <v>-7373.5</v>
      </c>
      <c r="G23" s="10">
        <f t="shared" si="2"/>
        <v>-0.22343800000089686</v>
      </c>
      <c r="I23" s="10">
        <f t="shared" si="3"/>
        <v>-0.22343800000089686</v>
      </c>
      <c r="O23">
        <f t="shared" ca="1" si="4"/>
        <v>-0.19974097559195597</v>
      </c>
      <c r="Q23" s="2">
        <f t="shared" si="5"/>
        <v>11480.96</v>
      </c>
    </row>
    <row r="24" spans="1:17" x14ac:dyDescent="0.2">
      <c r="A24" s="33" t="s">
        <v>52</v>
      </c>
      <c r="B24" s="40" t="s">
        <v>25</v>
      </c>
      <c r="C24" s="48">
        <v>26946.38</v>
      </c>
      <c r="D24" s="48" t="s">
        <v>46</v>
      </c>
      <c r="E24" s="9">
        <f t="shared" si="0"/>
        <v>-7249.0613122240011</v>
      </c>
      <c r="F24">
        <f t="shared" si="1"/>
        <v>-7249</v>
      </c>
      <c r="G24" s="10">
        <f t="shared" si="2"/>
        <v>-0.22009199999956763</v>
      </c>
      <c r="I24" s="10">
        <f t="shared" si="3"/>
        <v>-0.22009199999956763</v>
      </c>
      <c r="O24">
        <f t="shared" ca="1" si="4"/>
        <v>-0.20045375203646579</v>
      </c>
      <c r="Q24" s="2">
        <f t="shared" si="5"/>
        <v>11927.880000000001</v>
      </c>
    </row>
    <row r="25" spans="1:17" x14ac:dyDescent="0.2">
      <c r="A25" s="33" t="s">
        <v>52</v>
      </c>
      <c r="B25" s="40" t="s">
        <v>26</v>
      </c>
      <c r="C25" s="48">
        <v>31374.3</v>
      </c>
      <c r="D25" s="48" t="s">
        <v>46</v>
      </c>
      <c r="E25" s="9">
        <f t="shared" si="0"/>
        <v>-6015.5515849270632</v>
      </c>
      <c r="F25">
        <f t="shared" si="1"/>
        <v>-6015.5</v>
      </c>
      <c r="G25" s="10">
        <f t="shared" si="2"/>
        <v>-0.18517400000200723</v>
      </c>
      <c r="I25" s="10">
        <f t="shared" si="3"/>
        <v>-0.18517400000200723</v>
      </c>
      <c r="O25">
        <f t="shared" ca="1" si="4"/>
        <v>-0.20751567769351678</v>
      </c>
      <c r="Q25" s="2">
        <f t="shared" si="5"/>
        <v>16355.8</v>
      </c>
    </row>
    <row r="26" spans="1:17" x14ac:dyDescent="0.2">
      <c r="A26" s="33" t="s">
        <v>52</v>
      </c>
      <c r="B26" s="40" t="s">
        <v>25</v>
      </c>
      <c r="C26" s="48">
        <v>31652.47</v>
      </c>
      <c r="D26" s="48" t="s">
        <v>46</v>
      </c>
      <c r="E26" s="9">
        <f t="shared" si="0"/>
        <v>-5938.0602569802641</v>
      </c>
      <c r="F26">
        <f t="shared" si="1"/>
        <v>-5938</v>
      </c>
      <c r="G26" s="10">
        <f t="shared" si="2"/>
        <v>-0.21630399999776273</v>
      </c>
      <c r="I26" s="10">
        <f t="shared" si="3"/>
        <v>-0.21630399999776273</v>
      </c>
      <c r="O26">
        <f t="shared" ca="1" si="4"/>
        <v>-0.20795937387383412</v>
      </c>
      <c r="Q26" s="2">
        <f t="shared" si="5"/>
        <v>16633.97</v>
      </c>
    </row>
    <row r="27" spans="1:17" x14ac:dyDescent="0.2">
      <c r="A27" s="33" t="s">
        <v>52</v>
      </c>
      <c r="B27" s="40" t="s">
        <v>25</v>
      </c>
      <c r="C27" s="48">
        <v>31670.43</v>
      </c>
      <c r="D27" s="48" t="s">
        <v>46</v>
      </c>
      <c r="E27" s="9">
        <f t="shared" si="0"/>
        <v>-5933.0570422197779</v>
      </c>
      <c r="F27">
        <f t="shared" si="1"/>
        <v>-5933</v>
      </c>
      <c r="G27" s="10">
        <f t="shared" si="2"/>
        <v>-0.20476399999824935</v>
      </c>
      <c r="I27" s="10">
        <f t="shared" si="3"/>
        <v>-0.20476399999824935</v>
      </c>
      <c r="O27">
        <f t="shared" ca="1" si="4"/>
        <v>-0.2079879994338546</v>
      </c>
      <c r="Q27" s="2">
        <f t="shared" si="5"/>
        <v>16651.93</v>
      </c>
    </row>
    <row r="28" spans="1:17" x14ac:dyDescent="0.2">
      <c r="A28" s="33" t="s">
        <v>52</v>
      </c>
      <c r="B28" s="40" t="s">
        <v>25</v>
      </c>
      <c r="C28" s="48">
        <v>33856.53</v>
      </c>
      <c r="D28" s="48" t="s">
        <v>46</v>
      </c>
      <c r="E28" s="9">
        <f t="shared" si="0"/>
        <v>-5324.0632901095696</v>
      </c>
      <c r="F28">
        <f t="shared" si="1"/>
        <v>-5324</v>
      </c>
      <c r="G28" s="10">
        <f t="shared" si="2"/>
        <v>-0.22719200000574347</v>
      </c>
      <c r="I28" s="10">
        <f t="shared" si="3"/>
        <v>-0.22719200000574347</v>
      </c>
      <c r="O28">
        <f t="shared" ca="1" si="4"/>
        <v>-0.21147459264434837</v>
      </c>
      <c r="Q28" s="2">
        <f t="shared" si="5"/>
        <v>18838.03</v>
      </c>
    </row>
    <row r="29" spans="1:17" x14ac:dyDescent="0.2">
      <c r="A29" s="33" t="s">
        <v>52</v>
      </c>
      <c r="B29" s="40" t="s">
        <v>26</v>
      </c>
      <c r="C29" s="48">
        <v>36403.4</v>
      </c>
      <c r="D29" s="48" t="s">
        <v>46</v>
      </c>
      <c r="E29" s="9">
        <f t="shared" si="0"/>
        <v>-4614.5678793612369</v>
      </c>
      <c r="F29">
        <f t="shared" si="1"/>
        <v>-4614.5</v>
      </c>
      <c r="G29" s="10">
        <f t="shared" si="2"/>
        <v>-0.24366600000212202</v>
      </c>
      <c r="I29" s="10">
        <f t="shared" si="3"/>
        <v>-0.24366600000212202</v>
      </c>
      <c r="O29">
        <f t="shared" ca="1" si="4"/>
        <v>-0.21553655961125365</v>
      </c>
      <c r="Q29" s="2">
        <f t="shared" si="5"/>
        <v>21384.9</v>
      </c>
    </row>
    <row r="30" spans="1:17" x14ac:dyDescent="0.2">
      <c r="A30" s="33" t="s">
        <v>52</v>
      </c>
      <c r="B30" s="40" t="s">
        <v>25</v>
      </c>
      <c r="C30" s="48">
        <v>37191.35</v>
      </c>
      <c r="D30" s="48" t="s">
        <v>46</v>
      </c>
      <c r="E30" s="9">
        <f t="shared" si="0"/>
        <v>-4395.0643676393411</v>
      </c>
      <c r="F30">
        <f t="shared" si="1"/>
        <v>-4395</v>
      </c>
      <c r="G30" s="10">
        <f t="shared" si="2"/>
        <v>-0.23105999999825144</v>
      </c>
      <c r="I30" s="10">
        <f t="shared" si="3"/>
        <v>-0.23105999999825144</v>
      </c>
      <c r="O30">
        <f t="shared" ca="1" si="4"/>
        <v>-0.21679322169615248</v>
      </c>
      <c r="Q30" s="2">
        <f t="shared" si="5"/>
        <v>22172.85</v>
      </c>
    </row>
    <row r="31" spans="1:17" x14ac:dyDescent="0.2">
      <c r="A31" s="33" t="s">
        <v>52</v>
      </c>
      <c r="B31" s="40" t="s">
        <v>26</v>
      </c>
      <c r="C31" s="48">
        <v>37559.339999999997</v>
      </c>
      <c r="D31" s="48" t="s">
        <v>46</v>
      </c>
      <c r="E31" s="9">
        <f t="shared" si="0"/>
        <v>-4292.5513943814685</v>
      </c>
      <c r="F31">
        <f t="shared" si="1"/>
        <v>-4292.5</v>
      </c>
      <c r="G31" s="10">
        <f t="shared" si="2"/>
        <v>-0.18448999999964144</v>
      </c>
      <c r="I31" s="10">
        <f t="shared" si="3"/>
        <v>-0.18448999999964144</v>
      </c>
      <c r="O31">
        <f t="shared" ca="1" si="4"/>
        <v>-0.21738004567657221</v>
      </c>
      <c r="Q31" s="2">
        <f t="shared" si="5"/>
        <v>22540.839999999997</v>
      </c>
    </row>
    <row r="32" spans="1:17" x14ac:dyDescent="0.2">
      <c r="A32" s="33" t="s">
        <v>52</v>
      </c>
      <c r="B32" s="40" t="s">
        <v>26</v>
      </c>
      <c r="C32" s="48">
        <v>37577.33</v>
      </c>
      <c r="D32" s="48" t="s">
        <v>46</v>
      </c>
      <c r="E32" s="9">
        <f t="shared" si="0"/>
        <v>-4287.5398223580178</v>
      </c>
      <c r="F32">
        <f t="shared" si="1"/>
        <v>-4287.5</v>
      </c>
      <c r="G32" s="10">
        <f t="shared" si="2"/>
        <v>-0.14294999999401625</v>
      </c>
      <c r="I32" s="10">
        <f t="shared" si="3"/>
        <v>-0.14294999999401625</v>
      </c>
      <c r="O32">
        <f t="shared" ca="1" si="4"/>
        <v>-0.21740867123659266</v>
      </c>
      <c r="Q32" s="2">
        <f t="shared" si="5"/>
        <v>22558.83</v>
      </c>
    </row>
    <row r="33" spans="1:17" x14ac:dyDescent="0.2">
      <c r="A33" s="33" t="s">
        <v>52</v>
      </c>
      <c r="B33" s="40" t="s">
        <v>25</v>
      </c>
      <c r="C33" s="48">
        <v>37586.300000000003</v>
      </c>
      <c r="D33" s="48" t="s">
        <v>46</v>
      </c>
      <c r="E33" s="9">
        <f t="shared" si="0"/>
        <v>-4285.0410007320952</v>
      </c>
      <c r="F33">
        <f t="shared" si="1"/>
        <v>-4285</v>
      </c>
      <c r="G33" s="10">
        <f t="shared" si="2"/>
        <v>-0.14717999999993481</v>
      </c>
      <c r="I33" s="10">
        <f t="shared" si="3"/>
        <v>-0.14717999999993481</v>
      </c>
      <c r="O33">
        <f t="shared" ca="1" si="4"/>
        <v>-0.2174229840166029</v>
      </c>
      <c r="Q33" s="2">
        <f t="shared" si="5"/>
        <v>22567.800000000003</v>
      </c>
    </row>
    <row r="34" spans="1:17" x14ac:dyDescent="0.2">
      <c r="A34" s="33" t="s">
        <v>52</v>
      </c>
      <c r="B34" s="40" t="s">
        <v>25</v>
      </c>
      <c r="C34" s="48">
        <v>37837.43</v>
      </c>
      <c r="D34" s="48" t="s">
        <v>46</v>
      </c>
      <c r="E34" s="9">
        <f t="shared" si="0"/>
        <v>-4215.0823524692369</v>
      </c>
      <c r="F34">
        <f t="shared" si="1"/>
        <v>-4215</v>
      </c>
      <c r="G34" s="10">
        <f t="shared" si="2"/>
        <v>-0.29561999999714317</v>
      </c>
      <c r="I34" s="10">
        <f t="shared" si="3"/>
        <v>-0.29561999999714317</v>
      </c>
      <c r="O34">
        <f t="shared" ca="1" si="4"/>
        <v>-0.21782374185688955</v>
      </c>
      <c r="Q34" s="2">
        <f t="shared" si="5"/>
        <v>22818.93</v>
      </c>
    </row>
    <row r="35" spans="1:17" x14ac:dyDescent="0.2">
      <c r="A35" s="33" t="s">
        <v>52</v>
      </c>
      <c r="B35" s="40" t="s">
        <v>25</v>
      </c>
      <c r="C35" s="48">
        <v>37855.440000000002</v>
      </c>
      <c r="D35" s="48" t="s">
        <v>46</v>
      </c>
      <c r="E35" s="9">
        <f t="shared" si="0"/>
        <v>-4210.0652089371451</v>
      </c>
      <c r="F35">
        <f t="shared" si="1"/>
        <v>-4210</v>
      </c>
      <c r="G35" s="10">
        <f t="shared" si="2"/>
        <v>-0.2340799999947194</v>
      </c>
      <c r="I35" s="10">
        <f t="shared" si="3"/>
        <v>-0.2340799999947194</v>
      </c>
      <c r="O35">
        <f t="shared" ca="1" si="4"/>
        <v>-0.21785236741691003</v>
      </c>
      <c r="Q35" s="2">
        <f t="shared" si="5"/>
        <v>22836.940000000002</v>
      </c>
    </row>
    <row r="36" spans="1:17" x14ac:dyDescent="0.2">
      <c r="A36" s="33" t="s">
        <v>52</v>
      </c>
      <c r="B36" s="40" t="s">
        <v>26</v>
      </c>
      <c r="C36" s="48">
        <v>37907.51</v>
      </c>
      <c r="D36" s="48" t="s">
        <v>46</v>
      </c>
      <c r="E36" s="9">
        <f t="shared" si="0"/>
        <v>-4195.5597861877841</v>
      </c>
      <c r="F36">
        <f t="shared" si="1"/>
        <v>-4195.5</v>
      </c>
      <c r="G36" s="10">
        <f t="shared" si="2"/>
        <v>-0.21461399999679998</v>
      </c>
      <c r="I36" s="10">
        <f t="shared" si="3"/>
        <v>-0.21461399999679998</v>
      </c>
      <c r="O36">
        <f t="shared" ca="1" si="4"/>
        <v>-0.21793538154096939</v>
      </c>
      <c r="Q36" s="2">
        <f t="shared" si="5"/>
        <v>22889.010000000002</v>
      </c>
    </row>
    <row r="37" spans="1:17" x14ac:dyDescent="0.2">
      <c r="A37" s="33" t="s">
        <v>52</v>
      </c>
      <c r="B37" s="40" t="s">
        <v>25</v>
      </c>
      <c r="C37" s="48">
        <v>37934.400000000001</v>
      </c>
      <c r="D37" s="48" t="s">
        <v>46</v>
      </c>
      <c r="E37" s="9">
        <f t="shared" si="0"/>
        <v>-4188.0688928186592</v>
      </c>
      <c r="F37">
        <f t="shared" si="1"/>
        <v>-4188</v>
      </c>
      <c r="G37" s="10">
        <f t="shared" si="2"/>
        <v>-0.2473039999968023</v>
      </c>
      <c r="I37" s="10">
        <f t="shared" si="3"/>
        <v>-0.2473039999968023</v>
      </c>
      <c r="O37">
        <f t="shared" ca="1" si="4"/>
        <v>-0.21797831988100011</v>
      </c>
      <c r="Q37" s="2">
        <f t="shared" si="5"/>
        <v>22915.9</v>
      </c>
    </row>
    <row r="38" spans="1:17" x14ac:dyDescent="0.2">
      <c r="A38" s="33" t="s">
        <v>52</v>
      </c>
      <c r="B38" s="40" t="s">
        <v>26</v>
      </c>
      <c r="C38" s="48">
        <v>37936.28</v>
      </c>
      <c r="D38" s="48" t="s">
        <v>46</v>
      </c>
      <c r="E38" s="9">
        <f t="shared" si="0"/>
        <v>-4187.5451710063153</v>
      </c>
      <c r="F38">
        <f t="shared" si="1"/>
        <v>-4187.5</v>
      </c>
      <c r="G38" s="10">
        <f t="shared" si="2"/>
        <v>-0.16215000000374857</v>
      </c>
      <c r="I38" s="10">
        <f t="shared" si="3"/>
        <v>-0.16215000000374857</v>
      </c>
      <c r="O38">
        <f t="shared" ca="1" si="4"/>
        <v>-0.21798118243700215</v>
      </c>
      <c r="Q38" s="2">
        <f t="shared" si="5"/>
        <v>22917.78</v>
      </c>
    </row>
    <row r="39" spans="1:17" x14ac:dyDescent="0.2">
      <c r="A39" s="33" t="s">
        <v>52</v>
      </c>
      <c r="B39" s="40" t="s">
        <v>26</v>
      </c>
      <c r="C39" s="48">
        <v>37961.339999999997</v>
      </c>
      <c r="D39" s="48" t="s">
        <v>46</v>
      </c>
      <c r="E39" s="9">
        <f t="shared" si="0"/>
        <v>-4180.5640706779304</v>
      </c>
      <c r="F39">
        <f t="shared" si="1"/>
        <v>-4180.5</v>
      </c>
      <c r="G39" s="10">
        <f t="shared" si="2"/>
        <v>-0.22999400000117021</v>
      </c>
      <c r="I39" s="10">
        <f t="shared" si="3"/>
        <v>-0.22999400000117021</v>
      </c>
      <c r="O39">
        <f t="shared" ca="1" si="4"/>
        <v>-0.21802125822103083</v>
      </c>
      <c r="Q39" s="2">
        <f t="shared" si="5"/>
        <v>22942.839999999997</v>
      </c>
    </row>
    <row r="40" spans="1:17" x14ac:dyDescent="0.2">
      <c r="A40" s="33" t="s">
        <v>104</v>
      </c>
      <c r="B40" s="40" t="s">
        <v>26</v>
      </c>
      <c r="C40" s="48">
        <v>53935.447399999997</v>
      </c>
      <c r="D40" s="48" t="s">
        <v>46</v>
      </c>
      <c r="E40" s="9">
        <f t="shared" si="0"/>
        <v>269.42980066256331</v>
      </c>
      <c r="F40">
        <f t="shared" si="1"/>
        <v>269.5</v>
      </c>
      <c r="G40" s="10">
        <f t="shared" si="2"/>
        <v>-0.25199399999837624</v>
      </c>
      <c r="K40" s="10">
        <f>G40</f>
        <v>-0.25199399999837624</v>
      </c>
      <c r="O40">
        <f t="shared" ca="1" si="4"/>
        <v>-0.24349800663925289</v>
      </c>
      <c r="Q40" s="2">
        <f t="shared" si="5"/>
        <v>38916.947399999997</v>
      </c>
    </row>
    <row r="41" spans="1:17" x14ac:dyDescent="0.2">
      <c r="A41" s="34" t="s">
        <v>33</v>
      </c>
      <c r="B41" s="35" t="s">
        <v>25</v>
      </c>
      <c r="C41" s="34">
        <v>53935.447399999997</v>
      </c>
      <c r="D41" s="34">
        <v>1.6999999999999999E-3</v>
      </c>
      <c r="E41" s="9">
        <f t="shared" si="0"/>
        <v>269.42980066256331</v>
      </c>
      <c r="F41">
        <f t="shared" si="1"/>
        <v>269.5</v>
      </c>
      <c r="G41" s="10">
        <f t="shared" si="2"/>
        <v>-0.25199399999837624</v>
      </c>
      <c r="K41" s="10">
        <f>G41</f>
        <v>-0.25199399999837624</v>
      </c>
      <c r="O41">
        <f t="shared" ca="1" si="4"/>
        <v>-0.24349800663925289</v>
      </c>
      <c r="Q41" s="2">
        <f t="shared" si="5"/>
        <v>38916.947399999997</v>
      </c>
    </row>
    <row r="42" spans="1:17" x14ac:dyDescent="0.2">
      <c r="A42" s="33" t="s">
        <v>110</v>
      </c>
      <c r="B42" s="40" t="s">
        <v>25</v>
      </c>
      <c r="C42" s="48">
        <v>56489.515099999997</v>
      </c>
      <c r="D42" s="48" t="s">
        <v>46</v>
      </c>
      <c r="E42" s="9">
        <f t="shared" si="0"/>
        <v>980.93031379850913</v>
      </c>
      <c r="F42">
        <f t="shared" si="1"/>
        <v>981</v>
      </c>
      <c r="G42" s="10">
        <f t="shared" si="2"/>
        <v>-0.25015200000052573</v>
      </c>
      <c r="K42" s="10">
        <f>G42</f>
        <v>-0.25015200000052573</v>
      </c>
      <c r="O42">
        <f t="shared" ca="1" si="4"/>
        <v>-0.24757142383016636</v>
      </c>
      <c r="Q42" s="2">
        <f t="shared" si="5"/>
        <v>41471.015099999997</v>
      </c>
    </row>
    <row r="43" spans="1:17" x14ac:dyDescent="0.2">
      <c r="A43" s="36" t="s">
        <v>34</v>
      </c>
      <c r="B43" s="37"/>
      <c r="C43" s="36">
        <v>56489.515099999997</v>
      </c>
      <c r="D43" s="36">
        <v>4.1999999999999997E-3</v>
      </c>
      <c r="E43" s="9">
        <f t="shared" si="0"/>
        <v>980.93031379850913</v>
      </c>
      <c r="F43">
        <f t="shared" si="1"/>
        <v>981</v>
      </c>
      <c r="G43" s="10">
        <f t="shared" si="2"/>
        <v>-0.25015200000052573</v>
      </c>
      <c r="K43" s="10">
        <f>G43</f>
        <v>-0.25015200000052573</v>
      </c>
      <c r="O43">
        <f t="shared" ca="1" si="4"/>
        <v>-0.24757142383016636</v>
      </c>
      <c r="Q43" s="2">
        <f t="shared" si="5"/>
        <v>41471.015099999997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F52" sqref="F52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1.85546875" style="11" customWidth="1"/>
    <col min="4" max="4" width="9.42578125" style="11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  <c r="D1" s="41"/>
    </row>
    <row r="2" spans="1:6" x14ac:dyDescent="0.2">
      <c r="A2" t="s">
        <v>23</v>
      </c>
      <c r="B2" s="4" t="s">
        <v>24</v>
      </c>
    </row>
    <row r="4" spans="1:6" x14ac:dyDescent="0.2">
      <c r="A4" s="6" t="s">
        <v>0</v>
      </c>
      <c r="C4" s="42">
        <v>52759.87</v>
      </c>
      <c r="D4" s="43">
        <v>3.5896919999999999</v>
      </c>
    </row>
    <row r="5" spans="1:6" x14ac:dyDescent="0.2">
      <c r="A5" s="13" t="s">
        <v>31</v>
      </c>
      <c r="B5" s="38"/>
      <c r="C5" s="44">
        <v>8</v>
      </c>
      <c r="D5" s="45" t="s">
        <v>32</v>
      </c>
    </row>
    <row r="6" spans="1:6" x14ac:dyDescent="0.2">
      <c r="A6" s="6" t="s">
        <v>1</v>
      </c>
    </row>
    <row r="7" spans="1:6" x14ac:dyDescent="0.2">
      <c r="A7" t="s">
        <v>2</v>
      </c>
      <c r="C7" s="11">
        <v>52968.277399999999</v>
      </c>
    </row>
    <row r="8" spans="1:6" x14ac:dyDescent="0.2">
      <c r="A8" t="s">
        <v>3</v>
      </c>
      <c r="C8" s="11">
        <f>D4/2</f>
        <v>1.7948459999999999</v>
      </c>
    </row>
    <row r="9" spans="1:6" x14ac:dyDescent="0.2">
      <c r="A9" s="31" t="s">
        <v>114</v>
      </c>
      <c r="B9" s="39">
        <v>21</v>
      </c>
      <c r="C9" s="46" t="str">
        <f>"F"&amp;B9</f>
        <v>F21</v>
      </c>
      <c r="D9" s="46" t="str">
        <f>"G"&amp;B9</f>
        <v>G21</v>
      </c>
    </row>
    <row r="10" spans="1:6" ht="13.5" thickBot="1" x14ac:dyDescent="0.25">
      <c r="C10" s="47" t="s">
        <v>19</v>
      </c>
      <c r="D10" s="47" t="s">
        <v>20</v>
      </c>
    </row>
    <row r="11" spans="1:6" x14ac:dyDescent="0.2">
      <c r="A11" t="s">
        <v>15</v>
      </c>
      <c r="C11" s="36">
        <f ca="1">INTERCEPT(INDIRECT(D9):G979,INDIRECT(C9):$F979)</f>
        <v>-0.24195508895414933</v>
      </c>
    </row>
    <row r="12" spans="1:6" x14ac:dyDescent="0.2">
      <c r="A12" t="s">
        <v>16</v>
      </c>
      <c r="C12" s="36">
        <f ca="1">SLOPE(INDIRECT(D9):G979,INDIRECT(C9):$F979)</f>
        <v>-2.8625560020474234E-6</v>
      </c>
    </row>
    <row r="13" spans="1:6" x14ac:dyDescent="0.2">
      <c r="A13" t="s">
        <v>18</v>
      </c>
      <c r="C13" s="11" t="s">
        <v>13</v>
      </c>
    </row>
    <row r="15" spans="1:6" x14ac:dyDescent="0.2">
      <c r="A15" s="3" t="s">
        <v>17</v>
      </c>
      <c r="C15" s="11">
        <v>52968.277415999997</v>
      </c>
      <c r="D15" s="11">
        <f>MAX(C21:C37)</f>
        <v>37934.400000000001</v>
      </c>
      <c r="E15" s="15" t="s">
        <v>115</v>
      </c>
      <c r="F15" s="32">
        <v>1</v>
      </c>
    </row>
    <row r="16" spans="1:6" x14ac:dyDescent="0.2">
      <c r="A16" s="6" t="s">
        <v>4</v>
      </c>
      <c r="C16" s="11">
        <f ca="1">+C8+C12</f>
        <v>1.7948431374439979</v>
      </c>
      <c r="D16" s="11">
        <f>+C$8+D$12+2*D$13*MAX(G21:G37)</f>
        <v>1.7948459999999999</v>
      </c>
      <c r="E16" s="15" t="s">
        <v>28</v>
      </c>
      <c r="F16" s="16">
        <f ca="1">NOW()+15018.5+$C$5/24</f>
        <v>60321.459050231482</v>
      </c>
    </row>
    <row r="17" spans="1:17" ht="13.5" thickBot="1" x14ac:dyDescent="0.25">
      <c r="A17" s="15" t="s">
        <v>27</v>
      </c>
      <c r="B17" s="38"/>
      <c r="C17" s="12">
        <f>COUNT(C21:C2178)</f>
        <v>23</v>
      </c>
      <c r="E17" s="15" t="s">
        <v>116</v>
      </c>
      <c r="F17" s="16">
        <f ca="1">ROUND(2*(F16-$C$7)/$C$8,0)/2+F15</f>
        <v>4098</v>
      </c>
    </row>
    <row r="18" spans="1:17" x14ac:dyDescent="0.2">
      <c r="A18" s="6" t="s">
        <v>5</v>
      </c>
      <c r="C18" s="42">
        <f>+C15</f>
        <v>52968.277415999997</v>
      </c>
      <c r="D18" s="43">
        <f ca="1">+C16</f>
        <v>1.7948431374439979</v>
      </c>
      <c r="E18" s="15" t="s">
        <v>30</v>
      </c>
      <c r="F18" s="14">
        <f ca="1">ROUND(2*(F16-$C$15)/$C$16,0)/2+F15</f>
        <v>4098</v>
      </c>
    </row>
    <row r="19" spans="1:17" ht="13.5" thickTop="1" x14ac:dyDescent="0.2">
      <c r="E19" s="15" t="s">
        <v>29</v>
      </c>
      <c r="F19" s="17">
        <f ca="1">+$C$15+$C$16*F18-15018.5-$C$5/24</f>
        <v>45304.711259912168</v>
      </c>
    </row>
    <row r="20" spans="1:17" ht="13.5" thickBot="1" x14ac:dyDescent="0.25">
      <c r="A20" s="5" t="s">
        <v>6</v>
      </c>
      <c r="B20" s="5" t="s">
        <v>7</v>
      </c>
      <c r="C20" s="47" t="s">
        <v>8</v>
      </c>
      <c r="D20" s="47" t="s">
        <v>12</v>
      </c>
      <c r="E20" s="5" t="s">
        <v>9</v>
      </c>
      <c r="F20" s="5" t="s">
        <v>10</v>
      </c>
      <c r="G20" s="5" t="s">
        <v>11</v>
      </c>
      <c r="H20" s="8" t="s">
        <v>43</v>
      </c>
      <c r="I20" s="8" t="s">
        <v>46</v>
      </c>
      <c r="J20" s="8" t="s">
        <v>40</v>
      </c>
      <c r="K20" s="8" t="s">
        <v>38</v>
      </c>
      <c r="L20" s="8" t="s">
        <v>111</v>
      </c>
      <c r="M20" s="8" t="s">
        <v>112</v>
      </c>
      <c r="N20" s="8" t="s">
        <v>113</v>
      </c>
      <c r="O20" s="8" t="s">
        <v>22</v>
      </c>
      <c r="P20" s="7" t="s">
        <v>21</v>
      </c>
      <c r="Q20" s="5" t="s">
        <v>14</v>
      </c>
    </row>
    <row r="21" spans="1:17" x14ac:dyDescent="0.2">
      <c r="A21" s="33" t="s">
        <v>52</v>
      </c>
      <c r="B21" s="40" t="s">
        <v>25</v>
      </c>
      <c r="C21" s="48">
        <v>25503.360000000001</v>
      </c>
      <c r="D21" s="48" t="s">
        <v>46</v>
      </c>
      <c r="E21" s="9">
        <f t="shared" ref="E21:E43" si="0">+(C21-C$7)/C$8</f>
        <v>-15302.102464501133</v>
      </c>
      <c r="F21">
        <f t="shared" ref="F21:F43" si="1">ROUND(2*E21,0)/2</f>
        <v>-15302</v>
      </c>
      <c r="G21" s="10">
        <f t="shared" ref="G21:G43" si="2">+C21-(C$7+F21*C$8)</f>
        <v>-0.18390799999906449</v>
      </c>
      <c r="I21" s="10">
        <f t="shared" ref="I21:I39" si="3">G21</f>
        <v>-0.18390799999906449</v>
      </c>
      <c r="O21">
        <f t="shared" ref="O21:O43" ca="1" si="4">+C$11+C$12*F21</f>
        <v>-0.19815225701081965</v>
      </c>
      <c r="Q21" s="2">
        <f t="shared" ref="Q21:Q43" si="5">+C21-15018.5</f>
        <v>10484.86</v>
      </c>
    </row>
    <row r="22" spans="1:17" x14ac:dyDescent="0.2">
      <c r="A22" s="33" t="s">
        <v>52</v>
      </c>
      <c r="B22" s="40" t="s">
        <v>25</v>
      </c>
      <c r="C22" s="48">
        <v>26149.48</v>
      </c>
      <c r="D22" s="48" t="s">
        <v>46</v>
      </c>
      <c r="E22" s="9">
        <f t="shared" si="0"/>
        <v>-14942.116148126357</v>
      </c>
      <c r="F22">
        <f t="shared" si="1"/>
        <v>-14942</v>
      </c>
      <c r="G22" s="10">
        <f t="shared" si="2"/>
        <v>-0.20846800000072108</v>
      </c>
      <c r="I22" s="10">
        <f t="shared" si="3"/>
        <v>-0.20846800000072108</v>
      </c>
      <c r="O22">
        <f t="shared" ca="1" si="4"/>
        <v>-0.19918277717155672</v>
      </c>
      <c r="Q22" s="2">
        <f t="shared" si="5"/>
        <v>11130.98</v>
      </c>
    </row>
    <row r="23" spans="1:17" x14ac:dyDescent="0.2">
      <c r="A23" s="33" t="s">
        <v>52</v>
      </c>
      <c r="B23" s="40" t="s">
        <v>26</v>
      </c>
      <c r="C23" s="48">
        <v>26499.46</v>
      </c>
      <c r="D23" s="48" t="s">
        <v>46</v>
      </c>
      <c r="E23" s="9">
        <f t="shared" si="0"/>
        <v>-14747.124488674795</v>
      </c>
      <c r="F23">
        <f t="shared" si="1"/>
        <v>-14747</v>
      </c>
      <c r="G23" s="10">
        <f t="shared" si="2"/>
        <v>-0.22343800000089686</v>
      </c>
      <c r="I23" s="10">
        <f t="shared" si="3"/>
        <v>-0.22343800000089686</v>
      </c>
      <c r="O23">
        <f t="shared" ca="1" si="4"/>
        <v>-0.19974097559195597</v>
      </c>
      <c r="Q23" s="2">
        <f t="shared" si="5"/>
        <v>11480.96</v>
      </c>
    </row>
    <row r="24" spans="1:17" x14ac:dyDescent="0.2">
      <c r="A24" s="33" t="s">
        <v>52</v>
      </c>
      <c r="B24" s="40" t="s">
        <v>25</v>
      </c>
      <c r="C24" s="48">
        <v>26946.38</v>
      </c>
      <c r="D24" s="48" t="s">
        <v>46</v>
      </c>
      <c r="E24" s="9">
        <f t="shared" si="0"/>
        <v>-14498.122624448002</v>
      </c>
      <c r="F24">
        <f t="shared" si="1"/>
        <v>-14498</v>
      </c>
      <c r="G24" s="10">
        <f t="shared" si="2"/>
        <v>-0.22009199999956763</v>
      </c>
      <c r="I24" s="10">
        <f t="shared" si="3"/>
        <v>-0.22009199999956763</v>
      </c>
      <c r="O24">
        <f t="shared" ca="1" si="4"/>
        <v>-0.20045375203646579</v>
      </c>
      <c r="Q24" s="2">
        <f t="shared" si="5"/>
        <v>11927.880000000001</v>
      </c>
    </row>
    <row r="25" spans="1:17" x14ac:dyDescent="0.2">
      <c r="A25" s="33" t="s">
        <v>52</v>
      </c>
      <c r="B25" s="40" t="s">
        <v>26</v>
      </c>
      <c r="C25" s="48">
        <v>31374.3</v>
      </c>
      <c r="D25" s="48" t="s">
        <v>46</v>
      </c>
      <c r="E25" s="9">
        <f t="shared" si="0"/>
        <v>-12031.103169854126</v>
      </c>
      <c r="F25">
        <f t="shared" si="1"/>
        <v>-12031</v>
      </c>
      <c r="G25" s="10">
        <f t="shared" si="2"/>
        <v>-0.18517400000200723</v>
      </c>
      <c r="I25" s="10">
        <f t="shared" si="3"/>
        <v>-0.18517400000200723</v>
      </c>
      <c r="O25">
        <f t="shared" ca="1" si="4"/>
        <v>-0.20751567769351678</v>
      </c>
      <c r="Q25" s="2">
        <f t="shared" si="5"/>
        <v>16355.8</v>
      </c>
    </row>
    <row r="26" spans="1:17" x14ac:dyDescent="0.2">
      <c r="A26" s="33" t="s">
        <v>52</v>
      </c>
      <c r="B26" s="40" t="s">
        <v>25</v>
      </c>
      <c r="C26" s="48">
        <v>31652.47</v>
      </c>
      <c r="D26" s="48" t="s">
        <v>46</v>
      </c>
      <c r="E26" s="9">
        <f t="shared" si="0"/>
        <v>-11876.120513960528</v>
      </c>
      <c r="F26">
        <f t="shared" si="1"/>
        <v>-11876</v>
      </c>
      <c r="G26" s="10">
        <f t="shared" si="2"/>
        <v>-0.21630399999776273</v>
      </c>
      <c r="I26" s="10">
        <f t="shared" si="3"/>
        <v>-0.21630399999776273</v>
      </c>
      <c r="O26">
        <f t="shared" ca="1" si="4"/>
        <v>-0.20795937387383412</v>
      </c>
      <c r="Q26" s="2">
        <f t="shared" si="5"/>
        <v>16633.97</v>
      </c>
    </row>
    <row r="27" spans="1:17" x14ac:dyDescent="0.2">
      <c r="A27" s="33" t="s">
        <v>52</v>
      </c>
      <c r="B27" s="40" t="s">
        <v>25</v>
      </c>
      <c r="C27" s="48">
        <v>31670.43</v>
      </c>
      <c r="D27" s="48" t="s">
        <v>46</v>
      </c>
      <c r="E27" s="9">
        <f t="shared" si="0"/>
        <v>-11866.114084439556</v>
      </c>
      <c r="F27">
        <f t="shared" si="1"/>
        <v>-11866</v>
      </c>
      <c r="G27" s="10">
        <f t="shared" si="2"/>
        <v>-0.20476399999824935</v>
      </c>
      <c r="I27" s="10">
        <f t="shared" si="3"/>
        <v>-0.20476399999824935</v>
      </c>
      <c r="O27">
        <f t="shared" ca="1" si="4"/>
        <v>-0.2079879994338546</v>
      </c>
      <c r="Q27" s="2">
        <f t="shared" si="5"/>
        <v>16651.93</v>
      </c>
    </row>
    <row r="28" spans="1:17" x14ac:dyDescent="0.2">
      <c r="A28" s="33" t="s">
        <v>52</v>
      </c>
      <c r="B28" s="40" t="s">
        <v>25</v>
      </c>
      <c r="C28" s="48">
        <v>33856.53</v>
      </c>
      <c r="D28" s="48" t="s">
        <v>46</v>
      </c>
      <c r="E28" s="9">
        <f t="shared" si="0"/>
        <v>-10648.126580219139</v>
      </c>
      <c r="F28">
        <f t="shared" si="1"/>
        <v>-10648</v>
      </c>
      <c r="G28" s="10">
        <f t="shared" si="2"/>
        <v>-0.22719200000574347</v>
      </c>
      <c r="I28" s="10">
        <f t="shared" si="3"/>
        <v>-0.22719200000574347</v>
      </c>
      <c r="O28">
        <f t="shared" ca="1" si="4"/>
        <v>-0.21147459264434837</v>
      </c>
      <c r="Q28" s="2">
        <f t="shared" si="5"/>
        <v>18838.03</v>
      </c>
    </row>
    <row r="29" spans="1:17" x14ac:dyDescent="0.2">
      <c r="A29" s="33" t="s">
        <v>52</v>
      </c>
      <c r="B29" s="40" t="s">
        <v>26</v>
      </c>
      <c r="C29" s="48">
        <v>36403.4</v>
      </c>
      <c r="D29" s="48" t="s">
        <v>46</v>
      </c>
      <c r="E29" s="9">
        <f t="shared" si="0"/>
        <v>-9229.1357587224738</v>
      </c>
      <c r="F29">
        <f t="shared" si="1"/>
        <v>-9229</v>
      </c>
      <c r="G29" s="10">
        <f t="shared" si="2"/>
        <v>-0.24366600000212202</v>
      </c>
      <c r="I29" s="10">
        <f t="shared" si="3"/>
        <v>-0.24366600000212202</v>
      </c>
      <c r="O29">
        <f t="shared" ca="1" si="4"/>
        <v>-0.21553655961125365</v>
      </c>
      <c r="Q29" s="2">
        <f t="shared" si="5"/>
        <v>21384.9</v>
      </c>
    </row>
    <row r="30" spans="1:17" x14ac:dyDescent="0.2">
      <c r="A30" s="33" t="s">
        <v>52</v>
      </c>
      <c r="B30" s="40" t="s">
        <v>25</v>
      </c>
      <c r="C30" s="48">
        <v>37191.35</v>
      </c>
      <c r="D30" s="48" t="s">
        <v>46</v>
      </c>
      <c r="E30" s="9">
        <f t="shared" si="0"/>
        <v>-8790.1287352786821</v>
      </c>
      <c r="F30">
        <f t="shared" si="1"/>
        <v>-8790</v>
      </c>
      <c r="G30" s="10">
        <f t="shared" si="2"/>
        <v>-0.23105999999825144</v>
      </c>
      <c r="I30" s="10">
        <f t="shared" si="3"/>
        <v>-0.23105999999825144</v>
      </c>
      <c r="O30">
        <f t="shared" ca="1" si="4"/>
        <v>-0.21679322169615248</v>
      </c>
      <c r="Q30" s="2">
        <f t="shared" si="5"/>
        <v>22172.85</v>
      </c>
    </row>
    <row r="31" spans="1:17" x14ac:dyDescent="0.2">
      <c r="A31" s="33" t="s">
        <v>52</v>
      </c>
      <c r="B31" s="40" t="s">
        <v>26</v>
      </c>
      <c r="C31" s="48">
        <v>37559.339999999997</v>
      </c>
      <c r="D31" s="48" t="s">
        <v>46</v>
      </c>
      <c r="E31" s="9">
        <f t="shared" si="0"/>
        <v>-8585.1027887629371</v>
      </c>
      <c r="F31">
        <f t="shared" si="1"/>
        <v>-8585</v>
      </c>
      <c r="G31" s="10">
        <f t="shared" si="2"/>
        <v>-0.18448999999964144</v>
      </c>
      <c r="I31" s="10">
        <f t="shared" si="3"/>
        <v>-0.18448999999964144</v>
      </c>
      <c r="O31">
        <f t="shared" ca="1" si="4"/>
        <v>-0.21738004567657221</v>
      </c>
      <c r="Q31" s="2">
        <f t="shared" si="5"/>
        <v>22540.839999999997</v>
      </c>
    </row>
    <row r="32" spans="1:17" x14ac:dyDescent="0.2">
      <c r="A32" s="33" t="s">
        <v>52</v>
      </c>
      <c r="B32" s="40" t="s">
        <v>26</v>
      </c>
      <c r="C32" s="48">
        <v>37577.33</v>
      </c>
      <c r="D32" s="48" t="s">
        <v>46</v>
      </c>
      <c r="E32" s="9">
        <f t="shared" si="0"/>
        <v>-8575.0796447160355</v>
      </c>
      <c r="F32">
        <f t="shared" si="1"/>
        <v>-8575</v>
      </c>
      <c r="G32" s="10">
        <f t="shared" si="2"/>
        <v>-0.14294999999401625</v>
      </c>
      <c r="I32" s="10">
        <f t="shared" si="3"/>
        <v>-0.14294999999401625</v>
      </c>
      <c r="O32">
        <f t="shared" ca="1" si="4"/>
        <v>-0.21740867123659266</v>
      </c>
      <c r="Q32" s="2">
        <f t="shared" si="5"/>
        <v>22558.83</v>
      </c>
    </row>
    <row r="33" spans="1:17" x14ac:dyDescent="0.2">
      <c r="A33" s="33" t="s">
        <v>52</v>
      </c>
      <c r="B33" s="40" t="s">
        <v>25</v>
      </c>
      <c r="C33" s="48">
        <v>37586.300000000003</v>
      </c>
      <c r="D33" s="48" t="s">
        <v>46</v>
      </c>
      <c r="E33" s="9">
        <f t="shared" si="0"/>
        <v>-8570.0820014641904</v>
      </c>
      <c r="F33">
        <f t="shared" si="1"/>
        <v>-8570</v>
      </c>
      <c r="G33" s="10">
        <f t="shared" si="2"/>
        <v>-0.14717999999993481</v>
      </c>
      <c r="I33" s="10">
        <f t="shared" si="3"/>
        <v>-0.14717999999993481</v>
      </c>
      <c r="O33">
        <f t="shared" ca="1" si="4"/>
        <v>-0.2174229840166029</v>
      </c>
      <c r="Q33" s="2">
        <f t="shared" si="5"/>
        <v>22567.800000000003</v>
      </c>
    </row>
    <row r="34" spans="1:17" x14ac:dyDescent="0.2">
      <c r="A34" s="33" t="s">
        <v>52</v>
      </c>
      <c r="B34" s="40" t="s">
        <v>25</v>
      </c>
      <c r="C34" s="48">
        <v>37837.43</v>
      </c>
      <c r="D34" s="48" t="s">
        <v>46</v>
      </c>
      <c r="E34" s="9">
        <f t="shared" si="0"/>
        <v>-8430.1647049384737</v>
      </c>
      <c r="F34">
        <f t="shared" si="1"/>
        <v>-8430</v>
      </c>
      <c r="G34" s="10">
        <f t="shared" si="2"/>
        <v>-0.29561999999714317</v>
      </c>
      <c r="I34" s="10">
        <f t="shared" si="3"/>
        <v>-0.29561999999714317</v>
      </c>
      <c r="O34">
        <f t="shared" ca="1" si="4"/>
        <v>-0.21782374185688955</v>
      </c>
      <c r="Q34" s="2">
        <f t="shared" si="5"/>
        <v>22818.93</v>
      </c>
    </row>
    <row r="35" spans="1:17" x14ac:dyDescent="0.2">
      <c r="A35" s="33" t="s">
        <v>52</v>
      </c>
      <c r="B35" s="40" t="s">
        <v>25</v>
      </c>
      <c r="C35" s="48">
        <v>37855.440000000002</v>
      </c>
      <c r="D35" s="48" t="s">
        <v>46</v>
      </c>
      <c r="E35" s="9">
        <f t="shared" si="0"/>
        <v>-8420.1304178742903</v>
      </c>
      <c r="F35">
        <f t="shared" si="1"/>
        <v>-8420</v>
      </c>
      <c r="G35" s="10">
        <f t="shared" si="2"/>
        <v>-0.2340799999947194</v>
      </c>
      <c r="I35" s="10">
        <f t="shared" si="3"/>
        <v>-0.2340799999947194</v>
      </c>
      <c r="O35">
        <f t="shared" ca="1" si="4"/>
        <v>-0.21785236741691003</v>
      </c>
      <c r="Q35" s="2">
        <f t="shared" si="5"/>
        <v>22836.940000000002</v>
      </c>
    </row>
    <row r="36" spans="1:17" x14ac:dyDescent="0.2">
      <c r="A36" s="33" t="s">
        <v>52</v>
      </c>
      <c r="B36" s="40" t="s">
        <v>26</v>
      </c>
      <c r="C36" s="48">
        <v>37907.51</v>
      </c>
      <c r="D36" s="48" t="s">
        <v>46</v>
      </c>
      <c r="E36" s="9">
        <f t="shared" si="0"/>
        <v>-8391.1195723755682</v>
      </c>
      <c r="F36">
        <f t="shared" si="1"/>
        <v>-8391</v>
      </c>
      <c r="G36" s="10">
        <f t="shared" si="2"/>
        <v>-0.21461399999679998</v>
      </c>
      <c r="I36" s="10">
        <f t="shared" si="3"/>
        <v>-0.21461399999679998</v>
      </c>
      <c r="O36">
        <f t="shared" ca="1" si="4"/>
        <v>-0.21793538154096939</v>
      </c>
      <c r="Q36" s="2">
        <f t="shared" si="5"/>
        <v>22889.010000000002</v>
      </c>
    </row>
    <row r="37" spans="1:17" x14ac:dyDescent="0.2">
      <c r="A37" s="33" t="s">
        <v>52</v>
      </c>
      <c r="B37" s="40" t="s">
        <v>25</v>
      </c>
      <c r="C37" s="48">
        <v>37934.400000000001</v>
      </c>
      <c r="D37" s="48" t="s">
        <v>46</v>
      </c>
      <c r="E37" s="9">
        <f t="shared" si="0"/>
        <v>-8376.1377856373183</v>
      </c>
      <c r="F37">
        <f t="shared" si="1"/>
        <v>-8376</v>
      </c>
      <c r="G37" s="10">
        <f t="shared" si="2"/>
        <v>-0.2473039999968023</v>
      </c>
      <c r="I37" s="10">
        <f t="shared" si="3"/>
        <v>-0.2473039999968023</v>
      </c>
      <c r="O37">
        <f t="shared" ca="1" si="4"/>
        <v>-0.21797831988100011</v>
      </c>
      <c r="Q37" s="2">
        <f t="shared" si="5"/>
        <v>22915.9</v>
      </c>
    </row>
    <row r="38" spans="1:17" x14ac:dyDescent="0.2">
      <c r="A38" s="33" t="s">
        <v>52</v>
      </c>
      <c r="B38" s="40" t="s">
        <v>26</v>
      </c>
      <c r="C38" s="48">
        <v>37936.28</v>
      </c>
      <c r="D38" s="48" t="s">
        <v>46</v>
      </c>
      <c r="E38" s="9">
        <f t="shared" si="0"/>
        <v>-8375.0903420126306</v>
      </c>
      <c r="F38">
        <f t="shared" si="1"/>
        <v>-8375</v>
      </c>
      <c r="G38" s="10">
        <f t="shared" si="2"/>
        <v>-0.16215000000374857</v>
      </c>
      <c r="I38" s="10">
        <f t="shared" si="3"/>
        <v>-0.16215000000374857</v>
      </c>
      <c r="O38">
        <f t="shared" ca="1" si="4"/>
        <v>-0.21798118243700215</v>
      </c>
      <c r="Q38" s="2">
        <f t="shared" si="5"/>
        <v>22917.78</v>
      </c>
    </row>
    <row r="39" spans="1:17" x14ac:dyDescent="0.2">
      <c r="A39" s="33" t="s">
        <v>52</v>
      </c>
      <c r="B39" s="40" t="s">
        <v>26</v>
      </c>
      <c r="C39" s="48">
        <v>37961.339999999997</v>
      </c>
      <c r="D39" s="48" t="s">
        <v>46</v>
      </c>
      <c r="E39" s="9">
        <f t="shared" si="0"/>
        <v>-8361.1281413558609</v>
      </c>
      <c r="F39">
        <f t="shared" si="1"/>
        <v>-8361</v>
      </c>
      <c r="G39" s="10">
        <f t="shared" si="2"/>
        <v>-0.22999400000117021</v>
      </c>
      <c r="I39" s="10">
        <f t="shared" si="3"/>
        <v>-0.22999400000117021</v>
      </c>
      <c r="O39">
        <f t="shared" ca="1" si="4"/>
        <v>-0.21802125822103083</v>
      </c>
      <c r="Q39" s="2">
        <f t="shared" si="5"/>
        <v>22942.839999999997</v>
      </c>
    </row>
    <row r="40" spans="1:17" x14ac:dyDescent="0.2">
      <c r="A40" s="33" t="s">
        <v>104</v>
      </c>
      <c r="B40" s="40" t="s">
        <v>26</v>
      </c>
      <c r="C40" s="48">
        <v>53935.447399999997</v>
      </c>
      <c r="D40" s="48" t="s">
        <v>46</v>
      </c>
      <c r="E40" s="9">
        <f t="shared" si="0"/>
        <v>538.85960132512662</v>
      </c>
      <c r="F40">
        <f t="shared" si="1"/>
        <v>539</v>
      </c>
      <c r="G40" s="10">
        <f t="shared" si="2"/>
        <v>-0.25199399999837624</v>
      </c>
      <c r="K40" s="10">
        <f>G40</f>
        <v>-0.25199399999837624</v>
      </c>
      <c r="O40">
        <f t="shared" ca="1" si="4"/>
        <v>-0.24349800663925289</v>
      </c>
      <c r="Q40" s="2">
        <f t="shared" si="5"/>
        <v>38916.947399999997</v>
      </c>
    </row>
    <row r="41" spans="1:17" x14ac:dyDescent="0.2">
      <c r="A41" s="34" t="s">
        <v>33</v>
      </c>
      <c r="B41" s="35" t="s">
        <v>25</v>
      </c>
      <c r="C41" s="34">
        <v>53935.447399999997</v>
      </c>
      <c r="D41" s="34">
        <v>1.6999999999999999E-3</v>
      </c>
      <c r="E41" s="9">
        <f t="shared" si="0"/>
        <v>538.85960132512662</v>
      </c>
      <c r="F41">
        <f t="shared" si="1"/>
        <v>539</v>
      </c>
      <c r="G41" s="10">
        <f t="shared" si="2"/>
        <v>-0.25199399999837624</v>
      </c>
      <c r="K41" s="10">
        <f>G41</f>
        <v>-0.25199399999837624</v>
      </c>
      <c r="O41">
        <f t="shared" ca="1" si="4"/>
        <v>-0.24349800663925289</v>
      </c>
      <c r="Q41" s="2">
        <f t="shared" si="5"/>
        <v>38916.947399999997</v>
      </c>
    </row>
    <row r="42" spans="1:17" x14ac:dyDescent="0.2">
      <c r="A42" s="33" t="s">
        <v>110</v>
      </c>
      <c r="B42" s="40" t="s">
        <v>25</v>
      </c>
      <c r="C42" s="48">
        <v>56489.515099999997</v>
      </c>
      <c r="D42" s="48" t="s">
        <v>46</v>
      </c>
      <c r="E42" s="9">
        <f t="shared" si="0"/>
        <v>1961.8606275970183</v>
      </c>
      <c r="F42">
        <f t="shared" si="1"/>
        <v>1962</v>
      </c>
      <c r="G42" s="10">
        <f t="shared" si="2"/>
        <v>-0.25015200000052573</v>
      </c>
      <c r="K42" s="10">
        <f>G42</f>
        <v>-0.25015200000052573</v>
      </c>
      <c r="O42">
        <f t="shared" ca="1" si="4"/>
        <v>-0.24757142383016636</v>
      </c>
      <c r="Q42" s="2">
        <f t="shared" si="5"/>
        <v>41471.015099999997</v>
      </c>
    </row>
    <row r="43" spans="1:17" x14ac:dyDescent="0.2">
      <c r="A43" s="36" t="s">
        <v>34</v>
      </c>
      <c r="B43" s="37"/>
      <c r="C43" s="36">
        <v>56489.515099999997</v>
      </c>
      <c r="D43" s="36">
        <v>4.1999999999999997E-3</v>
      </c>
      <c r="E43" s="9">
        <f t="shared" si="0"/>
        <v>1961.8606275970183</v>
      </c>
      <c r="F43">
        <f t="shared" si="1"/>
        <v>1962</v>
      </c>
      <c r="G43" s="10">
        <f t="shared" si="2"/>
        <v>-0.25015200000052573</v>
      </c>
      <c r="K43" s="10">
        <f>G43</f>
        <v>-0.25015200000052573</v>
      </c>
      <c r="O43">
        <f t="shared" ca="1" si="4"/>
        <v>-0.24757142383016636</v>
      </c>
      <c r="Q43" s="2">
        <f t="shared" si="5"/>
        <v>41471.015099999997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8"/>
  <sheetViews>
    <sheetView workbookViewId="0">
      <selection activeCell="A11" sqref="A11:D31"/>
    </sheetView>
  </sheetViews>
  <sheetFormatPr defaultRowHeight="12.75" x14ac:dyDescent="0.2"/>
  <cols>
    <col min="1" max="1" width="19.7109375" style="11" customWidth="1"/>
    <col min="2" max="2" width="4.42578125" style="12" customWidth="1"/>
    <col min="3" max="3" width="12.7109375" style="11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1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18" t="s">
        <v>36</v>
      </c>
      <c r="I1" s="19" t="s">
        <v>37</v>
      </c>
      <c r="J1" s="20" t="s">
        <v>38</v>
      </c>
    </row>
    <row r="2" spans="1:16" x14ac:dyDescent="0.2">
      <c r="I2" s="21" t="s">
        <v>39</v>
      </c>
      <c r="J2" s="22" t="s">
        <v>40</v>
      </c>
    </row>
    <row r="3" spans="1:16" x14ac:dyDescent="0.2">
      <c r="A3" s="23" t="s">
        <v>41</v>
      </c>
      <c r="I3" s="21" t="s">
        <v>42</v>
      </c>
      <c r="J3" s="22" t="s">
        <v>43</v>
      </c>
    </row>
    <row r="4" spans="1:16" x14ac:dyDescent="0.2">
      <c r="I4" s="21" t="s">
        <v>44</v>
      </c>
      <c r="J4" s="22" t="s">
        <v>43</v>
      </c>
    </row>
    <row r="5" spans="1:16" ht="13.5" thickBot="1" x14ac:dyDescent="0.25">
      <c r="I5" s="24" t="s">
        <v>45</v>
      </c>
      <c r="J5" s="25" t="s">
        <v>46</v>
      </c>
    </row>
    <row r="10" spans="1:16" ht="13.5" thickBot="1" x14ac:dyDescent="0.25"/>
    <row r="11" spans="1:16" ht="12.75" customHeight="1" thickBot="1" x14ac:dyDescent="0.25">
      <c r="A11" s="11" t="str">
        <f t="shared" ref="A11:A31" si="0">P11</f>
        <v> VSS 7.88 </v>
      </c>
      <c r="B11" s="4" t="str">
        <f t="shared" ref="B11:B31" si="1">IF(H11=INT(H11),"I","II")</f>
        <v>I</v>
      </c>
      <c r="C11" s="11">
        <f t="shared" ref="C11:C31" si="2">1*G11</f>
        <v>25503.360000000001</v>
      </c>
      <c r="D11" s="12" t="str">
        <f t="shared" ref="D11:D31" si="3">VLOOKUP(F11,I$1:J$5,2,FALSE)</f>
        <v>vis</v>
      </c>
      <c r="E11" s="26">
        <f>VLOOKUP(C11,Active!C$21:E$947,3,FALSE)</f>
        <v>-7651.0512322505665</v>
      </c>
      <c r="F11" s="4" t="s">
        <v>45</v>
      </c>
      <c r="G11" s="12" t="str">
        <f t="shared" ref="G11:G31" si="4">MID(I11,3,LEN(I11)-3)</f>
        <v>25503.36</v>
      </c>
      <c r="H11" s="11">
        <f t="shared" ref="H11:H31" si="5">1*K11</f>
        <v>-7593</v>
      </c>
      <c r="I11" s="27" t="s">
        <v>47</v>
      </c>
      <c r="J11" s="28" t="s">
        <v>48</v>
      </c>
      <c r="K11" s="27">
        <v>-7593</v>
      </c>
      <c r="L11" s="27" t="s">
        <v>49</v>
      </c>
      <c r="M11" s="28" t="s">
        <v>50</v>
      </c>
      <c r="N11" s="28"/>
      <c r="O11" s="29" t="s">
        <v>51</v>
      </c>
      <c r="P11" s="29" t="s">
        <v>52</v>
      </c>
    </row>
    <row r="12" spans="1:16" ht="12.75" customHeight="1" thickBot="1" x14ac:dyDescent="0.25">
      <c r="A12" s="11" t="str">
        <f t="shared" si="0"/>
        <v> VSS 7.88 </v>
      </c>
      <c r="B12" s="4" t="str">
        <f t="shared" si="1"/>
        <v>I</v>
      </c>
      <c r="C12" s="11">
        <f t="shared" si="2"/>
        <v>26149.48</v>
      </c>
      <c r="D12" s="12" t="str">
        <f t="shared" si="3"/>
        <v>vis</v>
      </c>
      <c r="E12" s="26">
        <f>VLOOKUP(C12,Active!C$21:E$947,3,FALSE)</f>
        <v>-7471.0580740631785</v>
      </c>
      <c r="F12" s="4" t="s">
        <v>45</v>
      </c>
      <c r="G12" s="12" t="str">
        <f t="shared" si="4"/>
        <v>26149.48</v>
      </c>
      <c r="H12" s="11">
        <f t="shared" si="5"/>
        <v>-7413</v>
      </c>
      <c r="I12" s="27" t="s">
        <v>53</v>
      </c>
      <c r="J12" s="28" t="s">
        <v>54</v>
      </c>
      <c r="K12" s="27">
        <v>-7413</v>
      </c>
      <c r="L12" s="27" t="s">
        <v>55</v>
      </c>
      <c r="M12" s="28" t="s">
        <v>50</v>
      </c>
      <c r="N12" s="28"/>
      <c r="O12" s="29" t="s">
        <v>51</v>
      </c>
      <c r="P12" s="29" t="s">
        <v>52</v>
      </c>
    </row>
    <row r="13" spans="1:16" ht="12.75" customHeight="1" thickBot="1" x14ac:dyDescent="0.25">
      <c r="A13" s="11" t="str">
        <f t="shared" si="0"/>
        <v> VSS 7.88 </v>
      </c>
      <c r="B13" s="4" t="str">
        <f t="shared" si="1"/>
        <v>II</v>
      </c>
      <c r="C13" s="11">
        <f t="shared" si="2"/>
        <v>26499.46</v>
      </c>
      <c r="D13" s="12" t="str">
        <f t="shared" si="3"/>
        <v>vis</v>
      </c>
      <c r="E13" s="26">
        <f>VLOOKUP(C13,Active!C$21:E$947,3,FALSE)</f>
        <v>-7373.5622443373977</v>
      </c>
      <c r="F13" s="4" t="s">
        <v>45</v>
      </c>
      <c r="G13" s="12" t="str">
        <f t="shared" si="4"/>
        <v>26499.46</v>
      </c>
      <c r="H13" s="11">
        <f t="shared" si="5"/>
        <v>-7315.5</v>
      </c>
      <c r="I13" s="27" t="s">
        <v>56</v>
      </c>
      <c r="J13" s="28" t="s">
        <v>57</v>
      </c>
      <c r="K13" s="27">
        <v>-7315.5</v>
      </c>
      <c r="L13" s="27" t="s">
        <v>58</v>
      </c>
      <c r="M13" s="28" t="s">
        <v>50</v>
      </c>
      <c r="N13" s="28"/>
      <c r="O13" s="29" t="s">
        <v>51</v>
      </c>
      <c r="P13" s="29" t="s">
        <v>52</v>
      </c>
    </row>
    <row r="14" spans="1:16" ht="12.75" customHeight="1" thickBot="1" x14ac:dyDescent="0.25">
      <c r="A14" s="11" t="str">
        <f t="shared" si="0"/>
        <v> VSS 7.88 </v>
      </c>
      <c r="B14" s="4" t="str">
        <f t="shared" si="1"/>
        <v>I</v>
      </c>
      <c r="C14" s="11">
        <f t="shared" si="2"/>
        <v>26946.38</v>
      </c>
      <c r="D14" s="12" t="str">
        <f t="shared" si="3"/>
        <v>vis</v>
      </c>
      <c r="E14" s="26">
        <f>VLOOKUP(C14,Active!C$21:E$947,3,FALSE)</f>
        <v>-7249.0613122240011</v>
      </c>
      <c r="F14" s="4" t="s">
        <v>45</v>
      </c>
      <c r="G14" s="12" t="str">
        <f t="shared" si="4"/>
        <v>26946.38</v>
      </c>
      <c r="H14" s="11">
        <f t="shared" si="5"/>
        <v>-7191</v>
      </c>
      <c r="I14" s="27" t="s">
        <v>59</v>
      </c>
      <c r="J14" s="28" t="s">
        <v>60</v>
      </c>
      <c r="K14" s="27">
        <v>-7191</v>
      </c>
      <c r="L14" s="27" t="s">
        <v>61</v>
      </c>
      <c r="M14" s="28" t="s">
        <v>50</v>
      </c>
      <c r="N14" s="28"/>
      <c r="O14" s="29" t="s">
        <v>51</v>
      </c>
      <c r="P14" s="29" t="s">
        <v>52</v>
      </c>
    </row>
    <row r="15" spans="1:16" ht="12.75" customHeight="1" thickBot="1" x14ac:dyDescent="0.25">
      <c r="A15" s="11" t="str">
        <f t="shared" si="0"/>
        <v> VSS 7.88 </v>
      </c>
      <c r="B15" s="4" t="str">
        <f t="shared" si="1"/>
        <v>II</v>
      </c>
      <c r="C15" s="11">
        <f t="shared" si="2"/>
        <v>31374.3</v>
      </c>
      <c r="D15" s="12" t="str">
        <f t="shared" si="3"/>
        <v>vis</v>
      </c>
      <c r="E15" s="26">
        <f>VLOOKUP(C15,Active!C$21:E$947,3,FALSE)</f>
        <v>-6015.5515849270632</v>
      </c>
      <c r="F15" s="4" t="s">
        <v>45</v>
      </c>
      <c r="G15" s="12" t="str">
        <f t="shared" si="4"/>
        <v>31374.30</v>
      </c>
      <c r="H15" s="11">
        <f t="shared" si="5"/>
        <v>-5957.5</v>
      </c>
      <c r="I15" s="27" t="s">
        <v>62</v>
      </c>
      <c r="J15" s="28" t="s">
        <v>63</v>
      </c>
      <c r="K15" s="27">
        <v>-5957.5</v>
      </c>
      <c r="L15" s="27" t="s">
        <v>49</v>
      </c>
      <c r="M15" s="28" t="s">
        <v>50</v>
      </c>
      <c r="N15" s="28"/>
      <c r="O15" s="29" t="s">
        <v>51</v>
      </c>
      <c r="P15" s="29" t="s">
        <v>52</v>
      </c>
    </row>
    <row r="16" spans="1:16" ht="12.75" customHeight="1" thickBot="1" x14ac:dyDescent="0.25">
      <c r="A16" s="11" t="str">
        <f t="shared" si="0"/>
        <v> VSS 7.88 </v>
      </c>
      <c r="B16" s="4" t="str">
        <f t="shared" si="1"/>
        <v>I</v>
      </c>
      <c r="C16" s="11">
        <f t="shared" si="2"/>
        <v>31652.47</v>
      </c>
      <c r="D16" s="12" t="str">
        <f t="shared" si="3"/>
        <v>vis</v>
      </c>
      <c r="E16" s="26">
        <f>VLOOKUP(C16,Active!C$21:E$947,3,FALSE)</f>
        <v>-5938.0602569802641</v>
      </c>
      <c r="F16" s="4" t="s">
        <v>45</v>
      </c>
      <c r="G16" s="12" t="str">
        <f t="shared" si="4"/>
        <v>31652.47</v>
      </c>
      <c r="H16" s="11">
        <f t="shared" si="5"/>
        <v>-5880</v>
      </c>
      <c r="I16" s="27" t="s">
        <v>64</v>
      </c>
      <c r="J16" s="28" t="s">
        <v>65</v>
      </c>
      <c r="K16" s="27">
        <v>-5880</v>
      </c>
      <c r="L16" s="27" t="s">
        <v>61</v>
      </c>
      <c r="M16" s="28" t="s">
        <v>50</v>
      </c>
      <c r="N16" s="28"/>
      <c r="O16" s="29" t="s">
        <v>51</v>
      </c>
      <c r="P16" s="29" t="s">
        <v>52</v>
      </c>
    </row>
    <row r="17" spans="1:16" ht="12.75" customHeight="1" thickBot="1" x14ac:dyDescent="0.25">
      <c r="A17" s="11" t="str">
        <f t="shared" si="0"/>
        <v> VSS 7.88 </v>
      </c>
      <c r="B17" s="4" t="str">
        <f t="shared" si="1"/>
        <v>I</v>
      </c>
      <c r="C17" s="11">
        <f t="shared" si="2"/>
        <v>31670.43</v>
      </c>
      <c r="D17" s="12" t="str">
        <f t="shared" si="3"/>
        <v>vis</v>
      </c>
      <c r="E17" s="26">
        <f>VLOOKUP(C17,Active!C$21:E$947,3,FALSE)</f>
        <v>-5933.0570422197779</v>
      </c>
      <c r="F17" s="4" t="s">
        <v>45</v>
      </c>
      <c r="G17" s="12" t="str">
        <f t="shared" si="4"/>
        <v>31670.43</v>
      </c>
      <c r="H17" s="11">
        <f t="shared" si="5"/>
        <v>-5875</v>
      </c>
      <c r="I17" s="27" t="s">
        <v>66</v>
      </c>
      <c r="J17" s="28" t="s">
        <v>67</v>
      </c>
      <c r="K17" s="27">
        <v>-5875</v>
      </c>
      <c r="L17" s="27" t="s">
        <v>68</v>
      </c>
      <c r="M17" s="28" t="s">
        <v>50</v>
      </c>
      <c r="N17" s="28"/>
      <c r="O17" s="29" t="s">
        <v>51</v>
      </c>
      <c r="P17" s="29" t="s">
        <v>52</v>
      </c>
    </row>
    <row r="18" spans="1:16" ht="12.75" customHeight="1" thickBot="1" x14ac:dyDescent="0.25">
      <c r="A18" s="11" t="str">
        <f t="shared" si="0"/>
        <v> VSS 7.88 </v>
      </c>
      <c r="B18" s="4" t="str">
        <f t="shared" si="1"/>
        <v>I</v>
      </c>
      <c r="C18" s="11">
        <f t="shared" si="2"/>
        <v>33856.53</v>
      </c>
      <c r="D18" s="12" t="str">
        <f t="shared" si="3"/>
        <v>vis</v>
      </c>
      <c r="E18" s="26">
        <f>VLOOKUP(C18,Active!C$21:E$947,3,FALSE)</f>
        <v>-5324.0632901095696</v>
      </c>
      <c r="F18" s="4" t="s">
        <v>45</v>
      </c>
      <c r="G18" s="12" t="str">
        <f t="shared" si="4"/>
        <v>33856.53</v>
      </c>
      <c r="H18" s="11">
        <f t="shared" si="5"/>
        <v>-5266</v>
      </c>
      <c r="I18" s="27" t="s">
        <v>69</v>
      </c>
      <c r="J18" s="28" t="s">
        <v>70</v>
      </c>
      <c r="K18" s="27">
        <v>-5266</v>
      </c>
      <c r="L18" s="27" t="s">
        <v>58</v>
      </c>
      <c r="M18" s="28" t="s">
        <v>50</v>
      </c>
      <c r="N18" s="28"/>
      <c r="O18" s="29" t="s">
        <v>51</v>
      </c>
      <c r="P18" s="29" t="s">
        <v>52</v>
      </c>
    </row>
    <row r="19" spans="1:16" ht="12.75" customHeight="1" thickBot="1" x14ac:dyDescent="0.25">
      <c r="A19" s="11" t="str">
        <f t="shared" si="0"/>
        <v> VSS 7.88 </v>
      </c>
      <c r="B19" s="4" t="str">
        <f t="shared" si="1"/>
        <v>II</v>
      </c>
      <c r="C19" s="11">
        <f t="shared" si="2"/>
        <v>36403.4</v>
      </c>
      <c r="D19" s="12" t="str">
        <f t="shared" si="3"/>
        <v>vis</v>
      </c>
      <c r="E19" s="26">
        <f>VLOOKUP(C19,Active!C$21:E$947,3,FALSE)</f>
        <v>-4614.5678793612369</v>
      </c>
      <c r="F19" s="4" t="s">
        <v>45</v>
      </c>
      <c r="G19" s="12" t="str">
        <f t="shared" si="4"/>
        <v>36403.40</v>
      </c>
      <c r="H19" s="11">
        <f t="shared" si="5"/>
        <v>-4556.5</v>
      </c>
      <c r="I19" s="27" t="s">
        <v>71</v>
      </c>
      <c r="J19" s="28" t="s">
        <v>72</v>
      </c>
      <c r="K19" s="27">
        <v>-4556.5</v>
      </c>
      <c r="L19" s="27" t="s">
        <v>73</v>
      </c>
      <c r="M19" s="28" t="s">
        <v>50</v>
      </c>
      <c r="N19" s="28"/>
      <c r="O19" s="29" t="s">
        <v>51</v>
      </c>
      <c r="P19" s="29" t="s">
        <v>52</v>
      </c>
    </row>
    <row r="20" spans="1:16" ht="12.75" customHeight="1" thickBot="1" x14ac:dyDescent="0.25">
      <c r="A20" s="11" t="str">
        <f t="shared" si="0"/>
        <v> VSS 7.88 </v>
      </c>
      <c r="B20" s="4" t="str">
        <f t="shared" si="1"/>
        <v>I</v>
      </c>
      <c r="C20" s="11">
        <f t="shared" si="2"/>
        <v>37191.35</v>
      </c>
      <c r="D20" s="12" t="str">
        <f t="shared" si="3"/>
        <v>vis</v>
      </c>
      <c r="E20" s="26">
        <f>VLOOKUP(C20,Active!C$21:E$947,3,FALSE)</f>
        <v>-4395.0643676393411</v>
      </c>
      <c r="F20" s="4" t="s">
        <v>45</v>
      </c>
      <c r="G20" s="12" t="str">
        <f t="shared" si="4"/>
        <v>37191.35</v>
      </c>
      <c r="H20" s="11">
        <f t="shared" si="5"/>
        <v>-4337</v>
      </c>
      <c r="I20" s="27" t="s">
        <v>74</v>
      </c>
      <c r="J20" s="28" t="s">
        <v>75</v>
      </c>
      <c r="K20" s="27">
        <v>-4337</v>
      </c>
      <c r="L20" s="27" t="s">
        <v>76</v>
      </c>
      <c r="M20" s="28" t="s">
        <v>50</v>
      </c>
      <c r="N20" s="28"/>
      <c r="O20" s="29" t="s">
        <v>51</v>
      </c>
      <c r="P20" s="29" t="s">
        <v>52</v>
      </c>
    </row>
    <row r="21" spans="1:16" ht="12.75" customHeight="1" thickBot="1" x14ac:dyDescent="0.25">
      <c r="A21" s="11" t="str">
        <f t="shared" si="0"/>
        <v> VSS 7.88 </v>
      </c>
      <c r="B21" s="4" t="str">
        <f t="shared" si="1"/>
        <v>II</v>
      </c>
      <c r="C21" s="11">
        <f t="shared" si="2"/>
        <v>37559.339999999997</v>
      </c>
      <c r="D21" s="12" t="str">
        <f t="shared" si="3"/>
        <v>vis</v>
      </c>
      <c r="E21" s="26">
        <f>VLOOKUP(C21,Active!C$21:E$947,3,FALSE)</f>
        <v>-4292.5513943814685</v>
      </c>
      <c r="F21" s="4" t="s">
        <v>45</v>
      </c>
      <c r="G21" s="12" t="str">
        <f t="shared" si="4"/>
        <v>37559.34</v>
      </c>
      <c r="H21" s="11">
        <f t="shared" si="5"/>
        <v>-4234.5</v>
      </c>
      <c r="I21" s="27" t="s">
        <v>77</v>
      </c>
      <c r="J21" s="28" t="s">
        <v>78</v>
      </c>
      <c r="K21" s="27">
        <v>-4234.5</v>
      </c>
      <c r="L21" s="27" t="s">
        <v>49</v>
      </c>
      <c r="M21" s="28" t="s">
        <v>50</v>
      </c>
      <c r="N21" s="28"/>
      <c r="O21" s="29" t="s">
        <v>51</v>
      </c>
      <c r="P21" s="29" t="s">
        <v>52</v>
      </c>
    </row>
    <row r="22" spans="1:16" ht="12.75" customHeight="1" thickBot="1" x14ac:dyDescent="0.25">
      <c r="A22" s="11" t="str">
        <f t="shared" si="0"/>
        <v> VSS 7.88 </v>
      </c>
      <c r="B22" s="4" t="str">
        <f t="shared" si="1"/>
        <v>II</v>
      </c>
      <c r="C22" s="11">
        <f t="shared" si="2"/>
        <v>37577.33</v>
      </c>
      <c r="D22" s="12" t="str">
        <f t="shared" si="3"/>
        <v>vis</v>
      </c>
      <c r="E22" s="26">
        <f>VLOOKUP(C22,Active!C$21:E$947,3,FALSE)</f>
        <v>-4287.5398223580178</v>
      </c>
      <c r="F22" s="4" t="s">
        <v>45</v>
      </c>
      <c r="G22" s="12" t="str">
        <f t="shared" si="4"/>
        <v>37577.33</v>
      </c>
      <c r="H22" s="11">
        <f t="shared" si="5"/>
        <v>-4229.5</v>
      </c>
      <c r="I22" s="27" t="s">
        <v>79</v>
      </c>
      <c r="J22" s="28" t="s">
        <v>80</v>
      </c>
      <c r="K22" s="27">
        <v>-4229.5</v>
      </c>
      <c r="L22" s="27" t="s">
        <v>81</v>
      </c>
      <c r="M22" s="28" t="s">
        <v>50</v>
      </c>
      <c r="N22" s="28"/>
      <c r="O22" s="29" t="s">
        <v>51</v>
      </c>
      <c r="P22" s="29" t="s">
        <v>52</v>
      </c>
    </row>
    <row r="23" spans="1:16" ht="12.75" customHeight="1" thickBot="1" x14ac:dyDescent="0.25">
      <c r="A23" s="11" t="str">
        <f t="shared" si="0"/>
        <v> VSS 7.88 </v>
      </c>
      <c r="B23" s="4" t="str">
        <f t="shared" si="1"/>
        <v>I</v>
      </c>
      <c r="C23" s="11">
        <f t="shared" si="2"/>
        <v>37586.300000000003</v>
      </c>
      <c r="D23" s="12" t="str">
        <f t="shared" si="3"/>
        <v>vis</v>
      </c>
      <c r="E23" s="26">
        <f>VLOOKUP(C23,Active!C$21:E$947,3,FALSE)</f>
        <v>-4285.0410007320952</v>
      </c>
      <c r="F23" s="4" t="s">
        <v>45</v>
      </c>
      <c r="G23" s="12" t="str">
        <f t="shared" si="4"/>
        <v>37586.30</v>
      </c>
      <c r="H23" s="11">
        <f t="shared" si="5"/>
        <v>-4227</v>
      </c>
      <c r="I23" s="27" t="s">
        <v>82</v>
      </c>
      <c r="J23" s="28" t="s">
        <v>83</v>
      </c>
      <c r="K23" s="27">
        <v>-4227</v>
      </c>
      <c r="L23" s="27" t="s">
        <v>81</v>
      </c>
      <c r="M23" s="28" t="s">
        <v>50</v>
      </c>
      <c r="N23" s="28"/>
      <c r="O23" s="29" t="s">
        <v>51</v>
      </c>
      <c r="P23" s="29" t="s">
        <v>52</v>
      </c>
    </row>
    <row r="24" spans="1:16" ht="12.75" customHeight="1" thickBot="1" x14ac:dyDescent="0.25">
      <c r="A24" s="11" t="str">
        <f t="shared" si="0"/>
        <v> VSS 7.88 </v>
      </c>
      <c r="B24" s="4" t="str">
        <f t="shared" si="1"/>
        <v>I</v>
      </c>
      <c r="C24" s="11">
        <f t="shared" si="2"/>
        <v>37837.43</v>
      </c>
      <c r="D24" s="12" t="str">
        <f t="shared" si="3"/>
        <v>vis</v>
      </c>
      <c r="E24" s="26">
        <f>VLOOKUP(C24,Active!C$21:E$947,3,FALSE)</f>
        <v>-4215.0823524692369</v>
      </c>
      <c r="F24" s="4" t="s">
        <v>45</v>
      </c>
      <c r="G24" s="12" t="str">
        <f t="shared" si="4"/>
        <v>37837.43</v>
      </c>
      <c r="H24" s="11">
        <f t="shared" si="5"/>
        <v>-4157</v>
      </c>
      <c r="I24" s="27" t="s">
        <v>84</v>
      </c>
      <c r="J24" s="28" t="s">
        <v>85</v>
      </c>
      <c r="K24" s="27">
        <v>-4157</v>
      </c>
      <c r="L24" s="27" t="s">
        <v>86</v>
      </c>
      <c r="M24" s="28" t="s">
        <v>50</v>
      </c>
      <c r="N24" s="28"/>
      <c r="O24" s="29" t="s">
        <v>51</v>
      </c>
      <c r="P24" s="29" t="s">
        <v>52</v>
      </c>
    </row>
    <row r="25" spans="1:16" ht="12.75" customHeight="1" thickBot="1" x14ac:dyDescent="0.25">
      <c r="A25" s="11" t="str">
        <f t="shared" si="0"/>
        <v> VSS 7.88 </v>
      </c>
      <c r="B25" s="4" t="str">
        <f t="shared" si="1"/>
        <v>I</v>
      </c>
      <c r="C25" s="11">
        <f t="shared" si="2"/>
        <v>37855.440000000002</v>
      </c>
      <c r="D25" s="12" t="str">
        <f t="shared" si="3"/>
        <v>vis</v>
      </c>
      <c r="E25" s="26">
        <f>VLOOKUP(C25,Active!C$21:E$947,3,FALSE)</f>
        <v>-4210.0652089371451</v>
      </c>
      <c r="F25" s="4" t="s">
        <v>45</v>
      </c>
      <c r="G25" s="12" t="str">
        <f t="shared" si="4"/>
        <v>37855.44</v>
      </c>
      <c r="H25" s="11">
        <f t="shared" si="5"/>
        <v>-4152</v>
      </c>
      <c r="I25" s="27" t="s">
        <v>87</v>
      </c>
      <c r="J25" s="28" t="s">
        <v>88</v>
      </c>
      <c r="K25" s="27">
        <v>-4152</v>
      </c>
      <c r="L25" s="27" t="s">
        <v>76</v>
      </c>
      <c r="M25" s="28" t="s">
        <v>50</v>
      </c>
      <c r="N25" s="28"/>
      <c r="O25" s="29" t="s">
        <v>51</v>
      </c>
      <c r="P25" s="29" t="s">
        <v>52</v>
      </c>
    </row>
    <row r="26" spans="1:16" ht="12.75" customHeight="1" thickBot="1" x14ac:dyDescent="0.25">
      <c r="A26" s="11" t="str">
        <f t="shared" si="0"/>
        <v> VSS 7.88 </v>
      </c>
      <c r="B26" s="4" t="str">
        <f t="shared" si="1"/>
        <v>II</v>
      </c>
      <c r="C26" s="11">
        <f t="shared" si="2"/>
        <v>37907.51</v>
      </c>
      <c r="D26" s="12" t="str">
        <f t="shared" si="3"/>
        <v>vis</v>
      </c>
      <c r="E26" s="26">
        <f>VLOOKUP(C26,Active!C$21:E$947,3,FALSE)</f>
        <v>-4195.5597861877841</v>
      </c>
      <c r="F26" s="4" t="s">
        <v>45</v>
      </c>
      <c r="G26" s="12" t="str">
        <f t="shared" si="4"/>
        <v>37907.51</v>
      </c>
      <c r="H26" s="11">
        <f t="shared" si="5"/>
        <v>-4137.5</v>
      </c>
      <c r="I26" s="27" t="s">
        <v>89</v>
      </c>
      <c r="J26" s="28" t="s">
        <v>90</v>
      </c>
      <c r="K26" s="27">
        <v>-4137.5</v>
      </c>
      <c r="L26" s="27" t="s">
        <v>61</v>
      </c>
      <c r="M26" s="28" t="s">
        <v>50</v>
      </c>
      <c r="N26" s="28"/>
      <c r="O26" s="29" t="s">
        <v>51</v>
      </c>
      <c r="P26" s="29" t="s">
        <v>52</v>
      </c>
    </row>
    <row r="27" spans="1:16" ht="12.75" customHeight="1" thickBot="1" x14ac:dyDescent="0.25">
      <c r="A27" s="11" t="str">
        <f t="shared" si="0"/>
        <v> VSS 7.88 </v>
      </c>
      <c r="B27" s="4" t="str">
        <f t="shared" si="1"/>
        <v>I</v>
      </c>
      <c r="C27" s="11">
        <f t="shared" si="2"/>
        <v>37934.400000000001</v>
      </c>
      <c r="D27" s="12" t="str">
        <f t="shared" si="3"/>
        <v>vis</v>
      </c>
      <c r="E27" s="26">
        <f>VLOOKUP(C27,Active!C$21:E$947,3,FALSE)</f>
        <v>-4188.0688928186592</v>
      </c>
      <c r="F27" s="4" t="s">
        <v>45</v>
      </c>
      <c r="G27" s="12" t="str">
        <f t="shared" si="4"/>
        <v>37934.40</v>
      </c>
      <c r="H27" s="11">
        <f t="shared" si="5"/>
        <v>-4130</v>
      </c>
      <c r="I27" s="27" t="s">
        <v>91</v>
      </c>
      <c r="J27" s="28" t="s">
        <v>92</v>
      </c>
      <c r="K27" s="27">
        <v>-4130</v>
      </c>
      <c r="L27" s="27" t="s">
        <v>73</v>
      </c>
      <c r="M27" s="28" t="s">
        <v>50</v>
      </c>
      <c r="N27" s="28"/>
      <c r="O27" s="29" t="s">
        <v>51</v>
      </c>
      <c r="P27" s="29" t="s">
        <v>52</v>
      </c>
    </row>
    <row r="28" spans="1:16" ht="12.75" customHeight="1" thickBot="1" x14ac:dyDescent="0.25">
      <c r="A28" s="11" t="str">
        <f t="shared" si="0"/>
        <v> VSS 7.88 </v>
      </c>
      <c r="B28" s="4" t="str">
        <f t="shared" si="1"/>
        <v>II</v>
      </c>
      <c r="C28" s="11">
        <f t="shared" si="2"/>
        <v>37936.28</v>
      </c>
      <c r="D28" s="12" t="str">
        <f t="shared" si="3"/>
        <v>vis</v>
      </c>
      <c r="E28" s="26">
        <f>VLOOKUP(C28,Active!C$21:E$947,3,FALSE)</f>
        <v>-4187.5451710063153</v>
      </c>
      <c r="F28" s="4" t="s">
        <v>45</v>
      </c>
      <c r="G28" s="12" t="str">
        <f t="shared" si="4"/>
        <v>37936.28</v>
      </c>
      <c r="H28" s="11">
        <f t="shared" si="5"/>
        <v>-4129.5</v>
      </c>
      <c r="I28" s="27" t="s">
        <v>93</v>
      </c>
      <c r="J28" s="28" t="s">
        <v>94</v>
      </c>
      <c r="K28" s="27">
        <v>-4129.5</v>
      </c>
      <c r="L28" s="27" t="s">
        <v>95</v>
      </c>
      <c r="M28" s="28" t="s">
        <v>50</v>
      </c>
      <c r="N28" s="28"/>
      <c r="O28" s="29" t="s">
        <v>51</v>
      </c>
      <c r="P28" s="29" t="s">
        <v>52</v>
      </c>
    </row>
    <row r="29" spans="1:16" ht="12.75" customHeight="1" thickBot="1" x14ac:dyDescent="0.25">
      <c r="A29" s="11" t="str">
        <f t="shared" si="0"/>
        <v> VSS 7.88 </v>
      </c>
      <c r="B29" s="4" t="str">
        <f t="shared" si="1"/>
        <v>II</v>
      </c>
      <c r="C29" s="11">
        <f t="shared" si="2"/>
        <v>37961.339999999997</v>
      </c>
      <c r="D29" s="12" t="str">
        <f t="shared" si="3"/>
        <v>vis</v>
      </c>
      <c r="E29" s="26">
        <f>VLOOKUP(C29,Active!C$21:E$947,3,FALSE)</f>
        <v>-4180.5640706779304</v>
      </c>
      <c r="F29" s="4" t="s">
        <v>45</v>
      </c>
      <c r="G29" s="12" t="str">
        <f t="shared" si="4"/>
        <v>37961.34</v>
      </c>
      <c r="H29" s="11">
        <f t="shared" si="5"/>
        <v>-4122.5</v>
      </c>
      <c r="I29" s="27" t="s">
        <v>96</v>
      </c>
      <c r="J29" s="28" t="s">
        <v>97</v>
      </c>
      <c r="K29" s="27">
        <v>-4122.5</v>
      </c>
      <c r="L29" s="27" t="s">
        <v>58</v>
      </c>
      <c r="M29" s="28" t="s">
        <v>50</v>
      </c>
      <c r="N29" s="28"/>
      <c r="O29" s="29" t="s">
        <v>51</v>
      </c>
      <c r="P29" s="29" t="s">
        <v>52</v>
      </c>
    </row>
    <row r="30" spans="1:16" ht="12.75" customHeight="1" thickBot="1" x14ac:dyDescent="0.25">
      <c r="A30" s="11" t="str">
        <f t="shared" si="0"/>
        <v>BAVM 183 </v>
      </c>
      <c r="B30" s="4" t="str">
        <f t="shared" si="1"/>
        <v>II</v>
      </c>
      <c r="C30" s="11">
        <f t="shared" si="2"/>
        <v>53935.447399999997</v>
      </c>
      <c r="D30" s="12" t="str">
        <f t="shared" si="3"/>
        <v>vis</v>
      </c>
      <c r="E30" s="26">
        <f>VLOOKUP(C30,Active!C$21:E$947,3,FALSE)</f>
        <v>269.42980066256331</v>
      </c>
      <c r="F30" s="4" t="s">
        <v>45</v>
      </c>
      <c r="G30" s="12" t="str">
        <f t="shared" si="4"/>
        <v>53935.4474</v>
      </c>
      <c r="H30" s="11">
        <f t="shared" si="5"/>
        <v>327.5</v>
      </c>
      <c r="I30" s="27" t="s">
        <v>98</v>
      </c>
      <c r="J30" s="28" t="s">
        <v>99</v>
      </c>
      <c r="K30" s="27">
        <v>327.5</v>
      </c>
      <c r="L30" s="27" t="s">
        <v>100</v>
      </c>
      <c r="M30" s="28" t="s">
        <v>101</v>
      </c>
      <c r="N30" s="28" t="s">
        <v>102</v>
      </c>
      <c r="O30" s="29" t="s">
        <v>103</v>
      </c>
      <c r="P30" s="30" t="s">
        <v>104</v>
      </c>
    </row>
    <row r="31" spans="1:16" ht="12.75" customHeight="1" thickBot="1" x14ac:dyDescent="0.25">
      <c r="A31" s="11" t="str">
        <f t="shared" si="0"/>
        <v>BAVM 232 </v>
      </c>
      <c r="B31" s="4" t="str">
        <f t="shared" si="1"/>
        <v>I</v>
      </c>
      <c r="C31" s="11">
        <f t="shared" si="2"/>
        <v>56489.515099999997</v>
      </c>
      <c r="D31" s="12" t="str">
        <f t="shared" si="3"/>
        <v>vis</v>
      </c>
      <c r="E31" s="26">
        <f>VLOOKUP(C31,Active!C$21:E$947,3,FALSE)</f>
        <v>980.93031379850913</v>
      </c>
      <c r="F31" s="4" t="s">
        <v>45</v>
      </c>
      <c r="G31" s="12" t="str">
        <f t="shared" si="4"/>
        <v>56489.5151</v>
      </c>
      <c r="H31" s="11">
        <f t="shared" si="5"/>
        <v>1039</v>
      </c>
      <c r="I31" s="27" t="s">
        <v>105</v>
      </c>
      <c r="J31" s="28" t="s">
        <v>106</v>
      </c>
      <c r="K31" s="27">
        <v>1039</v>
      </c>
      <c r="L31" s="27" t="s">
        <v>107</v>
      </c>
      <c r="M31" s="28" t="s">
        <v>101</v>
      </c>
      <c r="N31" s="28" t="s">
        <v>108</v>
      </c>
      <c r="O31" s="29" t="s">
        <v>109</v>
      </c>
      <c r="P31" s="30" t="s">
        <v>110</v>
      </c>
    </row>
    <row r="32" spans="1:16" x14ac:dyDescent="0.2">
      <c r="B32" s="4"/>
      <c r="E32" s="26"/>
      <c r="F32" s="4"/>
    </row>
    <row r="33" spans="2:6" x14ac:dyDescent="0.2">
      <c r="B33" s="4"/>
      <c r="E33" s="26"/>
      <c r="F33" s="4"/>
    </row>
    <row r="34" spans="2:6" x14ac:dyDescent="0.2">
      <c r="B34" s="4"/>
      <c r="E34" s="26"/>
      <c r="F34" s="4"/>
    </row>
    <row r="35" spans="2:6" x14ac:dyDescent="0.2">
      <c r="B35" s="4"/>
      <c r="E35" s="26"/>
      <c r="F35" s="4"/>
    </row>
    <row r="36" spans="2:6" x14ac:dyDescent="0.2">
      <c r="B36" s="4"/>
      <c r="E36" s="26"/>
      <c r="F36" s="4"/>
    </row>
    <row r="37" spans="2:6" x14ac:dyDescent="0.2">
      <c r="B37" s="4"/>
      <c r="E37" s="26"/>
      <c r="F37" s="4"/>
    </row>
    <row r="38" spans="2:6" x14ac:dyDescent="0.2">
      <c r="B38" s="4"/>
      <c r="E38" s="26"/>
      <c r="F38" s="4"/>
    </row>
    <row r="39" spans="2:6" x14ac:dyDescent="0.2">
      <c r="B39" s="4"/>
      <c r="E39" s="26"/>
      <c r="F39" s="4"/>
    </row>
    <row r="40" spans="2:6" x14ac:dyDescent="0.2">
      <c r="B40" s="4"/>
      <c r="E40" s="26"/>
      <c r="F40" s="4"/>
    </row>
    <row r="41" spans="2:6" x14ac:dyDescent="0.2">
      <c r="B41" s="4"/>
      <c r="E41" s="26"/>
      <c r="F41" s="4"/>
    </row>
    <row r="42" spans="2:6" x14ac:dyDescent="0.2">
      <c r="B42" s="4"/>
      <c r="E42" s="26"/>
      <c r="F42" s="4"/>
    </row>
    <row r="43" spans="2:6" x14ac:dyDescent="0.2">
      <c r="B43" s="4"/>
      <c r="E43" s="26"/>
      <c r="F43" s="4"/>
    </row>
    <row r="44" spans="2:6" x14ac:dyDescent="0.2">
      <c r="B44" s="4"/>
      <c r="E44" s="26"/>
      <c r="F44" s="4"/>
    </row>
    <row r="45" spans="2:6" x14ac:dyDescent="0.2">
      <c r="B45" s="4"/>
      <c r="E45" s="26"/>
      <c r="F45" s="4"/>
    </row>
    <row r="46" spans="2:6" x14ac:dyDescent="0.2">
      <c r="B46" s="4"/>
      <c r="E46" s="26"/>
      <c r="F46" s="4"/>
    </row>
    <row r="47" spans="2:6" x14ac:dyDescent="0.2">
      <c r="B47" s="4"/>
      <c r="E47" s="26"/>
      <c r="F47" s="4"/>
    </row>
    <row r="48" spans="2:6" x14ac:dyDescent="0.2">
      <c r="B48" s="4"/>
      <c r="E48" s="26"/>
      <c r="F48" s="4"/>
    </row>
    <row r="49" spans="2:6" x14ac:dyDescent="0.2">
      <c r="B49" s="4"/>
      <c r="E49" s="26"/>
      <c r="F49" s="4"/>
    </row>
    <row r="50" spans="2:6" x14ac:dyDescent="0.2">
      <c r="B50" s="4"/>
      <c r="E50" s="26"/>
      <c r="F50" s="4"/>
    </row>
    <row r="51" spans="2:6" x14ac:dyDescent="0.2">
      <c r="B51" s="4"/>
      <c r="E51" s="26"/>
      <c r="F51" s="4"/>
    </row>
    <row r="52" spans="2:6" x14ac:dyDescent="0.2">
      <c r="B52" s="4"/>
      <c r="E52" s="26"/>
      <c r="F52" s="4"/>
    </row>
    <row r="53" spans="2:6" x14ac:dyDescent="0.2">
      <c r="B53" s="4"/>
      <c r="E53" s="26"/>
      <c r="F53" s="4"/>
    </row>
    <row r="54" spans="2:6" x14ac:dyDescent="0.2">
      <c r="B54" s="4"/>
      <c r="E54" s="26"/>
      <c r="F54" s="4"/>
    </row>
    <row r="55" spans="2:6" x14ac:dyDescent="0.2">
      <c r="B55" s="4"/>
      <c r="E55" s="26"/>
      <c r="F55" s="4"/>
    </row>
    <row r="56" spans="2:6" x14ac:dyDescent="0.2">
      <c r="B56" s="4"/>
      <c r="E56" s="26"/>
      <c r="F56" s="4"/>
    </row>
    <row r="57" spans="2:6" x14ac:dyDescent="0.2">
      <c r="B57" s="4"/>
      <c r="E57" s="26"/>
      <c r="F57" s="4"/>
    </row>
    <row r="58" spans="2:6" x14ac:dyDescent="0.2">
      <c r="B58" s="4"/>
      <c r="E58" s="26"/>
      <c r="F58" s="4"/>
    </row>
    <row r="59" spans="2:6" x14ac:dyDescent="0.2">
      <c r="B59" s="4"/>
      <c r="E59" s="26"/>
      <c r="F59" s="4"/>
    </row>
    <row r="60" spans="2:6" x14ac:dyDescent="0.2">
      <c r="B60" s="4"/>
      <c r="E60" s="26"/>
      <c r="F60" s="4"/>
    </row>
    <row r="61" spans="2:6" x14ac:dyDescent="0.2">
      <c r="B61" s="4"/>
      <c r="E61" s="26"/>
      <c r="F61" s="4"/>
    </row>
    <row r="62" spans="2:6" x14ac:dyDescent="0.2">
      <c r="B62" s="4"/>
      <c r="E62" s="26"/>
      <c r="F62" s="4"/>
    </row>
    <row r="63" spans="2:6" x14ac:dyDescent="0.2">
      <c r="B63" s="4"/>
      <c r="E63" s="26"/>
      <c r="F63" s="4"/>
    </row>
    <row r="64" spans="2:6" x14ac:dyDescent="0.2">
      <c r="B64" s="4"/>
      <c r="E64" s="26"/>
      <c r="F64" s="4"/>
    </row>
    <row r="65" spans="2:6" x14ac:dyDescent="0.2">
      <c r="B65" s="4"/>
      <c r="E65" s="26"/>
      <c r="F65" s="4"/>
    </row>
    <row r="66" spans="2:6" x14ac:dyDescent="0.2">
      <c r="B66" s="4"/>
      <c r="E66" s="26"/>
      <c r="F66" s="4"/>
    </row>
    <row r="67" spans="2:6" x14ac:dyDescent="0.2">
      <c r="B67" s="4"/>
      <c r="E67" s="26"/>
      <c r="F67" s="4"/>
    </row>
    <row r="68" spans="2:6" x14ac:dyDescent="0.2">
      <c r="B68" s="4"/>
      <c r="E68" s="26"/>
      <c r="F68" s="4"/>
    </row>
    <row r="69" spans="2:6" x14ac:dyDescent="0.2">
      <c r="B69" s="4"/>
      <c r="E69" s="26"/>
      <c r="F69" s="4"/>
    </row>
    <row r="70" spans="2:6" x14ac:dyDescent="0.2">
      <c r="B70" s="4"/>
      <c r="E70" s="26"/>
      <c r="F70" s="4"/>
    </row>
    <row r="71" spans="2:6" x14ac:dyDescent="0.2">
      <c r="B71" s="4"/>
      <c r="E71" s="26"/>
      <c r="F71" s="4"/>
    </row>
    <row r="72" spans="2:6" x14ac:dyDescent="0.2">
      <c r="B72" s="4"/>
      <c r="E72" s="26"/>
      <c r="F72" s="4"/>
    </row>
    <row r="73" spans="2:6" x14ac:dyDescent="0.2">
      <c r="B73" s="4"/>
      <c r="E73" s="26"/>
      <c r="F73" s="4"/>
    </row>
    <row r="74" spans="2:6" x14ac:dyDescent="0.2">
      <c r="B74" s="4"/>
      <c r="E74" s="26"/>
      <c r="F74" s="4"/>
    </row>
    <row r="75" spans="2:6" x14ac:dyDescent="0.2">
      <c r="B75" s="4"/>
      <c r="E75" s="26"/>
      <c r="F75" s="4"/>
    </row>
    <row r="76" spans="2:6" x14ac:dyDescent="0.2">
      <c r="B76" s="4"/>
      <c r="E76" s="26"/>
      <c r="F76" s="4"/>
    </row>
    <row r="77" spans="2:6" x14ac:dyDescent="0.2">
      <c r="B77" s="4"/>
      <c r="E77" s="26"/>
      <c r="F77" s="4"/>
    </row>
    <row r="78" spans="2:6" x14ac:dyDescent="0.2">
      <c r="B78" s="4"/>
      <c r="E78" s="26"/>
      <c r="F78" s="4"/>
    </row>
    <row r="79" spans="2:6" x14ac:dyDescent="0.2">
      <c r="B79" s="4"/>
      <c r="E79" s="26"/>
      <c r="F79" s="4"/>
    </row>
    <row r="80" spans="2:6" x14ac:dyDescent="0.2">
      <c r="B80" s="4"/>
      <c r="E80" s="26"/>
      <c r="F80" s="4"/>
    </row>
    <row r="81" spans="2:6" x14ac:dyDescent="0.2">
      <c r="B81" s="4"/>
      <c r="E81" s="26"/>
      <c r="F81" s="4"/>
    </row>
    <row r="82" spans="2:6" x14ac:dyDescent="0.2">
      <c r="B82" s="4"/>
      <c r="E82" s="26"/>
      <c r="F82" s="4"/>
    </row>
    <row r="83" spans="2:6" x14ac:dyDescent="0.2">
      <c r="B83" s="4"/>
      <c r="E83" s="26"/>
      <c r="F83" s="4"/>
    </row>
    <row r="84" spans="2:6" x14ac:dyDescent="0.2">
      <c r="B84" s="4"/>
      <c r="E84" s="26"/>
      <c r="F84" s="4"/>
    </row>
    <row r="85" spans="2:6" x14ac:dyDescent="0.2">
      <c r="B85" s="4"/>
      <c r="E85" s="26"/>
      <c r="F85" s="4"/>
    </row>
    <row r="86" spans="2:6" x14ac:dyDescent="0.2">
      <c r="B86" s="4"/>
      <c r="E86" s="26"/>
      <c r="F86" s="4"/>
    </row>
    <row r="87" spans="2:6" x14ac:dyDescent="0.2">
      <c r="B87" s="4"/>
      <c r="E87" s="26"/>
      <c r="F87" s="4"/>
    </row>
    <row r="88" spans="2:6" x14ac:dyDescent="0.2">
      <c r="B88" s="4"/>
      <c r="E88" s="26"/>
      <c r="F88" s="4"/>
    </row>
    <row r="89" spans="2:6" x14ac:dyDescent="0.2">
      <c r="B89" s="4"/>
      <c r="E89" s="26"/>
      <c r="F89" s="4"/>
    </row>
    <row r="90" spans="2:6" x14ac:dyDescent="0.2">
      <c r="B90" s="4"/>
      <c r="E90" s="26"/>
      <c r="F90" s="4"/>
    </row>
    <row r="91" spans="2:6" x14ac:dyDescent="0.2">
      <c r="B91" s="4"/>
      <c r="E91" s="26"/>
      <c r="F91" s="4"/>
    </row>
    <row r="92" spans="2:6" x14ac:dyDescent="0.2">
      <c r="B92" s="4"/>
      <c r="E92" s="26"/>
      <c r="F92" s="4"/>
    </row>
    <row r="93" spans="2:6" x14ac:dyDescent="0.2">
      <c r="B93" s="4"/>
      <c r="E93" s="26"/>
      <c r="F93" s="4"/>
    </row>
    <row r="94" spans="2:6" x14ac:dyDescent="0.2">
      <c r="B94" s="4"/>
      <c r="E94" s="26"/>
      <c r="F94" s="4"/>
    </row>
    <row r="95" spans="2:6" x14ac:dyDescent="0.2">
      <c r="B95" s="4"/>
      <c r="E95" s="26"/>
      <c r="F95" s="4"/>
    </row>
    <row r="96" spans="2:6" x14ac:dyDescent="0.2">
      <c r="B96" s="4"/>
      <c r="E96" s="26"/>
      <c r="F96" s="4"/>
    </row>
    <row r="97" spans="2:6" x14ac:dyDescent="0.2">
      <c r="B97" s="4"/>
      <c r="E97" s="26"/>
      <c r="F97" s="4"/>
    </row>
    <row r="98" spans="2:6" x14ac:dyDescent="0.2">
      <c r="B98" s="4"/>
      <c r="E98" s="26"/>
      <c r="F98" s="4"/>
    </row>
    <row r="99" spans="2:6" x14ac:dyDescent="0.2">
      <c r="B99" s="4"/>
      <c r="E99" s="26"/>
      <c r="F99" s="4"/>
    </row>
    <row r="100" spans="2:6" x14ac:dyDescent="0.2">
      <c r="B100" s="4"/>
      <c r="E100" s="26"/>
      <c r="F100" s="4"/>
    </row>
    <row r="101" spans="2:6" x14ac:dyDescent="0.2">
      <c r="B101" s="4"/>
      <c r="E101" s="26"/>
      <c r="F101" s="4"/>
    </row>
    <row r="102" spans="2:6" x14ac:dyDescent="0.2">
      <c r="B102" s="4"/>
      <c r="E102" s="26"/>
      <c r="F102" s="4"/>
    </row>
    <row r="103" spans="2:6" x14ac:dyDescent="0.2">
      <c r="B103" s="4"/>
      <c r="E103" s="26"/>
      <c r="F103" s="4"/>
    </row>
    <row r="104" spans="2:6" x14ac:dyDescent="0.2">
      <c r="B104" s="4"/>
      <c r="E104" s="26"/>
      <c r="F104" s="4"/>
    </row>
    <row r="105" spans="2:6" x14ac:dyDescent="0.2">
      <c r="B105" s="4"/>
      <c r="E105" s="26"/>
      <c r="F105" s="4"/>
    </row>
    <row r="106" spans="2:6" x14ac:dyDescent="0.2">
      <c r="B106" s="4"/>
      <c r="E106" s="26"/>
      <c r="F106" s="4"/>
    </row>
    <row r="107" spans="2:6" x14ac:dyDescent="0.2">
      <c r="B107" s="4"/>
      <c r="E107" s="26"/>
      <c r="F107" s="4"/>
    </row>
    <row r="108" spans="2:6" x14ac:dyDescent="0.2">
      <c r="B108" s="4"/>
      <c r="E108" s="26"/>
      <c r="F108" s="4"/>
    </row>
    <row r="109" spans="2:6" x14ac:dyDescent="0.2">
      <c r="B109" s="4"/>
      <c r="E109" s="26"/>
      <c r="F109" s="4"/>
    </row>
    <row r="110" spans="2:6" x14ac:dyDescent="0.2">
      <c r="B110" s="4"/>
      <c r="E110" s="26"/>
      <c r="F110" s="4"/>
    </row>
    <row r="111" spans="2:6" x14ac:dyDescent="0.2">
      <c r="B111" s="4"/>
      <c r="E111" s="26"/>
      <c r="F111" s="4"/>
    </row>
    <row r="112" spans="2:6" x14ac:dyDescent="0.2">
      <c r="B112" s="4"/>
      <c r="E112" s="26"/>
      <c r="F112" s="4"/>
    </row>
    <row r="113" spans="2:6" x14ac:dyDescent="0.2">
      <c r="B113" s="4"/>
      <c r="E113" s="26"/>
      <c r="F113" s="4"/>
    </row>
    <row r="114" spans="2:6" x14ac:dyDescent="0.2">
      <c r="B114" s="4"/>
      <c r="E114" s="26"/>
      <c r="F114" s="4"/>
    </row>
    <row r="115" spans="2:6" x14ac:dyDescent="0.2">
      <c r="B115" s="4"/>
      <c r="E115" s="26"/>
      <c r="F115" s="4"/>
    </row>
    <row r="116" spans="2:6" x14ac:dyDescent="0.2">
      <c r="B116" s="4"/>
      <c r="E116" s="26"/>
      <c r="F116" s="4"/>
    </row>
    <row r="117" spans="2:6" x14ac:dyDescent="0.2">
      <c r="B117" s="4"/>
      <c r="E117" s="26"/>
      <c r="F117" s="4"/>
    </row>
    <row r="118" spans="2:6" x14ac:dyDescent="0.2">
      <c r="B118" s="4"/>
      <c r="E118" s="26"/>
      <c r="F118" s="4"/>
    </row>
    <row r="119" spans="2:6" x14ac:dyDescent="0.2">
      <c r="B119" s="4"/>
      <c r="E119" s="26"/>
      <c r="F119" s="4"/>
    </row>
    <row r="120" spans="2:6" x14ac:dyDescent="0.2">
      <c r="B120" s="4"/>
      <c r="E120" s="26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  <row r="867" spans="2:6" x14ac:dyDescent="0.2">
      <c r="B867" s="4"/>
      <c r="F867" s="4"/>
    </row>
    <row r="868" spans="2:6" x14ac:dyDescent="0.2">
      <c r="B868" s="4"/>
      <c r="F868" s="4"/>
    </row>
    <row r="869" spans="2:6" x14ac:dyDescent="0.2">
      <c r="B869" s="4"/>
      <c r="F869" s="4"/>
    </row>
    <row r="870" spans="2:6" x14ac:dyDescent="0.2">
      <c r="B870" s="4"/>
      <c r="F870" s="4"/>
    </row>
    <row r="871" spans="2:6" x14ac:dyDescent="0.2">
      <c r="B871" s="4"/>
      <c r="F871" s="4"/>
    </row>
    <row r="872" spans="2:6" x14ac:dyDescent="0.2">
      <c r="B872" s="4"/>
      <c r="F872" s="4"/>
    </row>
    <row r="873" spans="2:6" x14ac:dyDescent="0.2">
      <c r="B873" s="4"/>
      <c r="F873" s="4"/>
    </row>
    <row r="874" spans="2:6" x14ac:dyDescent="0.2">
      <c r="B874" s="4"/>
      <c r="F874" s="4"/>
    </row>
    <row r="875" spans="2:6" x14ac:dyDescent="0.2">
      <c r="B875" s="4"/>
      <c r="F875" s="4"/>
    </row>
    <row r="876" spans="2:6" x14ac:dyDescent="0.2">
      <c r="B876" s="4"/>
      <c r="F876" s="4"/>
    </row>
    <row r="877" spans="2:6" x14ac:dyDescent="0.2">
      <c r="B877" s="4"/>
      <c r="F877" s="4"/>
    </row>
    <row r="878" spans="2:6" x14ac:dyDescent="0.2">
      <c r="B878" s="4"/>
      <c r="F878" s="4"/>
    </row>
    <row r="879" spans="2:6" x14ac:dyDescent="0.2">
      <c r="B879" s="4"/>
      <c r="F879" s="4"/>
    </row>
    <row r="880" spans="2:6" x14ac:dyDescent="0.2">
      <c r="B880" s="4"/>
      <c r="F880" s="4"/>
    </row>
    <row r="881" spans="2:6" x14ac:dyDescent="0.2">
      <c r="B881" s="4"/>
      <c r="F881" s="4"/>
    </row>
    <row r="882" spans="2:6" x14ac:dyDescent="0.2">
      <c r="B882" s="4"/>
      <c r="F882" s="4"/>
    </row>
    <row r="883" spans="2:6" x14ac:dyDescent="0.2">
      <c r="B883" s="4"/>
      <c r="F883" s="4"/>
    </row>
    <row r="884" spans="2:6" x14ac:dyDescent="0.2">
      <c r="B884" s="4"/>
      <c r="F884" s="4"/>
    </row>
    <row r="885" spans="2:6" x14ac:dyDescent="0.2">
      <c r="B885" s="4"/>
      <c r="F885" s="4"/>
    </row>
    <row r="886" spans="2:6" x14ac:dyDescent="0.2">
      <c r="B886" s="4"/>
      <c r="F886" s="4"/>
    </row>
    <row r="887" spans="2:6" x14ac:dyDescent="0.2">
      <c r="B887" s="4"/>
      <c r="F887" s="4"/>
    </row>
    <row r="888" spans="2:6" x14ac:dyDescent="0.2">
      <c r="B888" s="4"/>
      <c r="F888" s="4"/>
    </row>
    <row r="889" spans="2:6" x14ac:dyDescent="0.2">
      <c r="B889" s="4"/>
      <c r="F889" s="4"/>
    </row>
    <row r="890" spans="2:6" x14ac:dyDescent="0.2">
      <c r="B890" s="4"/>
      <c r="F890" s="4"/>
    </row>
    <row r="891" spans="2:6" x14ac:dyDescent="0.2">
      <c r="B891" s="4"/>
      <c r="F891" s="4"/>
    </row>
    <row r="892" spans="2:6" x14ac:dyDescent="0.2">
      <c r="B892" s="4"/>
      <c r="F892" s="4"/>
    </row>
    <row r="893" spans="2:6" x14ac:dyDescent="0.2">
      <c r="B893" s="4"/>
      <c r="F893" s="4"/>
    </row>
    <row r="894" spans="2:6" x14ac:dyDescent="0.2">
      <c r="B894" s="4"/>
      <c r="F894" s="4"/>
    </row>
    <row r="895" spans="2:6" x14ac:dyDescent="0.2">
      <c r="B895" s="4"/>
      <c r="F895" s="4"/>
    </row>
    <row r="896" spans="2:6" x14ac:dyDescent="0.2">
      <c r="B896" s="4"/>
      <c r="F896" s="4"/>
    </row>
    <row r="897" spans="2:6" x14ac:dyDescent="0.2">
      <c r="B897" s="4"/>
      <c r="F897" s="4"/>
    </row>
    <row r="898" spans="2:6" x14ac:dyDescent="0.2">
      <c r="B898" s="4"/>
      <c r="F898" s="4"/>
    </row>
    <row r="899" spans="2:6" x14ac:dyDescent="0.2">
      <c r="B899" s="4"/>
      <c r="F899" s="4"/>
    </row>
    <row r="900" spans="2:6" x14ac:dyDescent="0.2">
      <c r="B900" s="4"/>
      <c r="F900" s="4"/>
    </row>
    <row r="901" spans="2:6" x14ac:dyDescent="0.2">
      <c r="B901" s="4"/>
      <c r="F901" s="4"/>
    </row>
    <row r="902" spans="2:6" x14ac:dyDescent="0.2">
      <c r="B902" s="4"/>
      <c r="F902" s="4"/>
    </row>
    <row r="903" spans="2:6" x14ac:dyDescent="0.2">
      <c r="B903" s="4"/>
      <c r="F903" s="4"/>
    </row>
    <row r="904" spans="2:6" x14ac:dyDescent="0.2">
      <c r="B904" s="4"/>
      <c r="F904" s="4"/>
    </row>
    <row r="905" spans="2:6" x14ac:dyDescent="0.2">
      <c r="B905" s="4"/>
      <c r="F905" s="4"/>
    </row>
    <row r="906" spans="2:6" x14ac:dyDescent="0.2">
      <c r="B906" s="4"/>
      <c r="F906" s="4"/>
    </row>
    <row r="907" spans="2:6" x14ac:dyDescent="0.2">
      <c r="B907" s="4"/>
      <c r="F907" s="4"/>
    </row>
    <row r="908" spans="2:6" x14ac:dyDescent="0.2">
      <c r="B908" s="4"/>
      <c r="F908" s="4"/>
    </row>
  </sheetData>
  <phoneticPr fontId="7" type="noConversion"/>
  <hyperlinks>
    <hyperlink ref="A3" r:id="rId1"/>
    <hyperlink ref="P30" r:id="rId2" display="http://www.bav-astro.de/sfs/BAVM_link.php?BAVMnr=183"/>
    <hyperlink ref="P31" r:id="rId3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2024-01-11T04:31:01Z</dcterms:modified>
</cp:coreProperties>
</file>