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063AFFE-4F8F-4552-B052-E37BD280F7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4" i="1" l="1"/>
  <c r="D9" i="1"/>
  <c r="C9" i="1"/>
  <c r="Q28" i="1"/>
  <c r="Q29" i="1"/>
  <c r="Q30" i="1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Q33" i="1"/>
  <c r="Q31" i="1"/>
  <c r="Q32" i="1"/>
  <c r="F16" i="1"/>
  <c r="F17" i="1" s="1"/>
  <c r="C17" i="1"/>
  <c r="Q27" i="1"/>
  <c r="Q22" i="1"/>
  <c r="Q23" i="1"/>
  <c r="Q24" i="1"/>
  <c r="Q25" i="1"/>
  <c r="Q26" i="1"/>
  <c r="C7" i="1"/>
  <c r="E34" i="1"/>
  <c r="F34" i="1"/>
  <c r="C8" i="1"/>
  <c r="Q21" i="1"/>
  <c r="E16" i="2"/>
  <c r="E15" i="2"/>
  <c r="E18" i="2"/>
  <c r="E12" i="2"/>
  <c r="E23" i="1"/>
  <c r="F23" i="1"/>
  <c r="G25" i="1"/>
  <c r="I25" i="1"/>
  <c r="E30" i="1"/>
  <c r="F30" i="1"/>
  <c r="G33" i="1"/>
  <c r="J33" i="1"/>
  <c r="E31" i="1"/>
  <c r="F31" i="1"/>
  <c r="G29" i="1"/>
  <c r="K29" i="1"/>
  <c r="G27" i="1"/>
  <c r="J27" i="1"/>
  <c r="E25" i="1"/>
  <c r="F25" i="1"/>
  <c r="E33" i="1"/>
  <c r="F33" i="1"/>
  <c r="E29" i="1"/>
  <c r="F29" i="1"/>
  <c r="E27" i="1"/>
  <c r="F27" i="1"/>
  <c r="E22" i="1"/>
  <c r="F22" i="1"/>
  <c r="G22" i="1"/>
  <c r="G34" i="1"/>
  <c r="K34" i="1"/>
  <c r="E24" i="1"/>
  <c r="F24" i="1"/>
  <c r="E32" i="1"/>
  <c r="F32" i="1"/>
  <c r="G32" i="1"/>
  <c r="J32" i="1"/>
  <c r="G30" i="1"/>
  <c r="K30" i="1"/>
  <c r="E21" i="1"/>
  <c r="F21" i="1"/>
  <c r="G21" i="1"/>
  <c r="H21" i="1"/>
  <c r="G31" i="1"/>
  <c r="J31" i="1"/>
  <c r="E26" i="1"/>
  <c r="F26" i="1"/>
  <c r="G26" i="1"/>
  <c r="K26" i="1"/>
  <c r="E28" i="1"/>
  <c r="F28" i="1"/>
  <c r="G28" i="1"/>
  <c r="K28" i="1"/>
  <c r="I22" i="1"/>
  <c r="E17" i="2"/>
  <c r="E14" i="2"/>
  <c r="E11" i="2"/>
  <c r="E13" i="2"/>
  <c r="C11" i="1"/>
  <c r="C12" i="1"/>
  <c r="C16" i="1" l="1"/>
  <c r="D18" i="1" s="1"/>
  <c r="O31" i="1"/>
  <c r="O28" i="1"/>
  <c r="O27" i="1"/>
  <c r="O34" i="1"/>
  <c r="O29" i="1"/>
  <c r="O32" i="1"/>
  <c r="O22" i="1"/>
  <c r="O33" i="1"/>
  <c r="O26" i="1"/>
  <c r="O23" i="1"/>
  <c r="O25" i="1"/>
  <c r="C15" i="1"/>
  <c r="F18" i="1" s="1"/>
  <c r="O30" i="1"/>
  <c r="O24" i="1"/>
  <c r="O21" i="1"/>
  <c r="C18" i="1" l="1"/>
  <c r="F19" i="1"/>
</calcChain>
</file>

<file path=xl/sharedStrings.xml><?xml version="1.0" encoding="utf-8"?>
<sst xmlns="http://schemas.openxmlformats.org/spreadsheetml/2006/main" count="160" uniqueCount="112">
  <si>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</si>
  <si>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</si>
  <si>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</si>
  <si>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</si>
  <si>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</si>
  <si>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</si>
  <si>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</si>
  <si>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</si>
  <si>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</si>
  <si>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</si>
  <si>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</si>
  <si>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</si>
  <si>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</si>
  <si>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</si>
  <si>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</si>
  <si>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</si>
  <si>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</si>
  <si>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</si>
  <si>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</si>
  <si>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</si>
  <si>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</si>
  <si>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</si>
  <si>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</si>
  <si>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</si>
  <si>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</si>
  <si>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</si>
  <si>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</si>
  <si>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Bull.56</t>
  </si>
  <si>
    <t>B</t>
  </si>
  <si>
    <t>BBSAG Bull.61</t>
  </si>
  <si>
    <t>BBSAG Bull.80</t>
  </si>
  <si>
    <t>BBSAG Bull.81</t>
  </si>
  <si>
    <t>Diethelm</t>
  </si>
  <si>
    <t>R</t>
  </si>
  <si>
    <t>BBSAG Bull.116</t>
  </si>
  <si>
    <t>IBVS 4888</t>
  </si>
  <si>
    <t># of data points:</t>
  </si>
  <si>
    <t>V1045 Aql / GSC 01615-01349</t>
  </si>
  <si>
    <t>EA/SD: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</si>
  <si>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</si>
  <si>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</si>
  <si>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</si>
  <si>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</si>
  <si>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</si>
  <si>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</si>
  <si>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</si>
  <si>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</si>
  <si>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5959</t>
  </si>
  <si>
    <t>II</t>
  </si>
  <si>
    <t>IBVS 6010</t>
  </si>
  <si>
    <t>I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</si>
  <si>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</si>
  <si>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</si>
  <si>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</si>
  <si>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</si>
  <si>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</si>
  <si>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</si>
  <si>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</si>
  <si>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</si>
  <si>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</si>
  <si>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</si>
  <si>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</si>
  <si>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</si>
  <si>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2450721.3449 </t>
  </si>
  <si>
    <t> 29.09.1997 20:16 </t>
  </si>
  <si>
    <t> -0.0023 </t>
  </si>
  <si>
    <t>E </t>
  </si>
  <si>
    <t>?</t>
  </si>
  <si>
    <t> R.Diethelm </t>
  </si>
  <si>
    <t> BBS 116 </t>
  </si>
  <si>
    <t>2450927.5605 </t>
  </si>
  <si>
    <t> 24.04.1998 01:27 </t>
  </si>
  <si>
    <t> 0.0010 </t>
  </si>
  <si>
    <t> J.Safar </t>
  </si>
  <si>
    <t>IBVS 4888 </t>
  </si>
  <si>
    <t>2454312.5144 </t>
  </si>
  <si>
    <t> 31.07.2007 00:20 </t>
  </si>
  <si>
    <t> 0.0011 </t>
  </si>
  <si>
    <t>C </t>
  </si>
  <si>
    <t>-I</t>
  </si>
  <si>
    <t> F.Agerer </t>
  </si>
  <si>
    <t>BAVM 193 </t>
  </si>
  <si>
    <t>2454389.2953 </t>
  </si>
  <si>
    <t> 15.10.2007 19:05 </t>
  </si>
  <si>
    <t>-610</t>
  </si>
  <si>
    <t> 0.0008 </t>
  </si>
  <si>
    <t>2454719.4572 </t>
  </si>
  <si>
    <t> 09.09.2008 22:58 </t>
  </si>
  <si>
    <t>-459.5</t>
  </si>
  <si>
    <t> 0.0036 </t>
  </si>
  <si>
    <t>BAVM 203 </t>
  </si>
  <si>
    <t>2455353.4470 </t>
  </si>
  <si>
    <t> 05.06.2010 22:43 </t>
  </si>
  <si>
    <t>-170.5</t>
  </si>
  <si>
    <t> 0.0001 </t>
  </si>
  <si>
    <t>BAVM 214 </t>
  </si>
  <si>
    <t>2455727.4810 </t>
  </si>
  <si>
    <t> 14.06.2011 23:32 </t>
  </si>
  <si>
    <t>0</t>
  </si>
  <si>
    <t> 0.0000 </t>
  </si>
  <si>
    <t>o</t>
  </si>
  <si>
    <t> W.Moschner &amp; P.Frank </t>
  </si>
  <si>
    <t>BAVM 220 </t>
  </si>
  <si>
    <t>2456542.4616 </t>
  </si>
  <si>
    <t> 06.09.2013 23:04 </t>
  </si>
  <si>
    <t>371.5</t>
  </si>
  <si>
    <t> 0.0031 </t>
  </si>
  <si>
    <t>BAVM 234 </t>
  </si>
  <si>
    <t>s5</t>
  </si>
  <si>
    <t>s6</t>
  </si>
  <si>
    <t>s7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</si>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</sst>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V1045 Aql - O-C Diagr.</a:t>
            </a:r>
          </a:p>
        </c:rich>
      </c:tx>
      <c:layout>
        <c:manualLayout>
          <c:xMode val="edge"/>
          <c:yMode val="edge"/>
          <c:x val="0.322314266501811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69252958613219"/>
          <c:w val="0.7500007566349317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7C-4F3B-825C-801D159306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-1.0500000003958121E-2</c:v>
                </c:pt>
                <c:pt idx="4">
                  <c:v>-1.1000000005878974E-2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7C-4F3B-825C-801D159306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">
                  <c:v>-8.9999999981955625E-3</c:v>
                </c:pt>
                <c:pt idx="10">
                  <c:v>-1.3124999997671694E-2</c:v>
                </c:pt>
                <c:pt idx="11">
                  <c:v>-1.3500000000931323E-2</c:v>
                </c:pt>
                <c:pt idx="12">
                  <c:v>-1.1024999999790452E-2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7C-4F3B-825C-801D159306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">
                  <c:v>-1.2100000007194467E-2</c:v>
                </c:pt>
                <c:pt idx="7">
                  <c:v>-1.1350000000675209E-2</c:v>
                </c:pt>
                <c:pt idx="8">
                  <c:v>-1.1700000002747402E-2</c:v>
                </c:pt>
                <c:pt idx="9">
                  <c:v>-9.1750000065076165E-3</c:v>
                </c:pt>
                <c:pt idx="13">
                  <c:v>-1.284999999916181E-2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7C-4F3B-825C-801D159306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7C-4F3B-825C-801D159306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7C-4F3B-825C-801D159306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5.9999999999999995E-4</c:v>
                  </c:pt>
                  <c:pt idx="6">
                    <c:v>1.9E-3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3.8E-3</c:v>
                  </c:pt>
                  <c:pt idx="11">
                    <c:v>4.0000000000000002E-4</c:v>
                  </c:pt>
                  <c:pt idx="12">
                    <c:v>2.3E-3</c:v>
                  </c:pt>
                  <c:pt idx="1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7C-4F3B-825C-801D159306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-7.6918947226011763E-3</c:v>
                </c:pt>
                <c:pt idx="1">
                  <c:v>-1.0213335015035279E-2</c:v>
                </c:pt>
                <c:pt idx="2">
                  <c:v>-1.025821084098257E-2</c:v>
                </c:pt>
                <c:pt idx="3">
                  <c:v>-1.0469998911640287E-2</c:v>
                </c:pt>
                <c:pt idx="4">
                  <c:v>-1.048646414274325E-2</c:v>
                </c:pt>
                <c:pt idx="5">
                  <c:v>-1.1077921071775167E-2</c:v>
                </c:pt>
                <c:pt idx="6">
                  <c:v>-1.1108268752631609E-2</c:v>
                </c:pt>
                <c:pt idx="7">
                  <c:v>-1.1606422705413403E-2</c:v>
                </c:pt>
                <c:pt idx="8">
                  <c:v>-1.1617722373817398E-2</c:v>
                </c:pt>
                <c:pt idx="9">
                  <c:v>-1.1666310947954572E-2</c:v>
                </c:pt>
                <c:pt idx="10">
                  <c:v>-1.1759613924204694E-2</c:v>
                </c:pt>
                <c:pt idx="11">
                  <c:v>-1.181465945171558E-2</c:v>
                </c:pt>
                <c:pt idx="12">
                  <c:v>-1.193459736063226E-2</c:v>
                </c:pt>
                <c:pt idx="13">
                  <c:v>-1.2039684276789406E-2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7C-4F3B-825C-801D1593064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Active!$F$21:$F$49</c:f>
              <c:numCache>
                <c:formatCode>General</c:formatCode>
                <c:ptCount val="29"/>
                <c:pt idx="0">
                  <c:v>0</c:v>
                </c:pt>
                <c:pt idx="1">
                  <c:v>7810</c:v>
                </c:pt>
                <c:pt idx="2">
                  <c:v>7949</c:v>
                </c:pt>
                <c:pt idx="3">
                  <c:v>8605</c:v>
                </c:pt>
                <c:pt idx="4">
                  <c:v>8656</c:v>
                </c:pt>
                <c:pt idx="5">
                  <c:v>10488</c:v>
                </c:pt>
                <c:pt idx="6">
                  <c:v>10582</c:v>
                </c:pt>
                <c:pt idx="7">
                  <c:v>12125</c:v>
                </c:pt>
                <c:pt idx="8">
                  <c:v>12160</c:v>
                </c:pt>
                <c:pt idx="9">
                  <c:v>12310.5</c:v>
                </c:pt>
                <c:pt idx="10">
                  <c:v>12599.5</c:v>
                </c:pt>
                <c:pt idx="11">
                  <c:v>12770</c:v>
                </c:pt>
                <c:pt idx="12">
                  <c:v>13141.5</c:v>
                </c:pt>
                <c:pt idx="13">
                  <c:v>13467</c:v>
                </c:pt>
              </c:numCache>
            </c:numRef>
          </c:xVal>
          <c:yVal>
            <c:numRef>
              <c:f>Active!$U$21:$U$49</c:f>
              <c:numCache>
                <c:formatCode>General</c:formatCode>
                <c:ptCount val="29"/>
                <c:pt idx="2">
                  <c:v>-1.750000003085006E-3</c:v>
                </c:pt>
                <c:pt idx="3">
                  <c:v>6.2499999985448085E-3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7C-4F3B-825C-801D1593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60472"/>
        <c:axId val="1"/>
      </c:scatterChart>
      <c:valAx>
        <c:axId val="574960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60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727272727272728E-2"/>
          <c:y val="0.92000129214617399"/>
          <c:w val="0.9690093490379818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85725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B41B71-D04E-75F9-E1E5-129455023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abSelected="1" workbookViewId="0">
      <selection activeCell="E9" sqref="E8:E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7109375" customWidth="1"/>
    <col min="6" max="6" width="18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25</v>
      </c>
      <c r="B2" s="9" t="s">
        <v>38</v>
      </c>
    </row>
    <row r="4" spans="1:6" ht="14.25" thickTop="1" thickBot="1" x14ac:dyDescent="0.25">
      <c r="A4" s="6" t="s">
        <v>1</v>
      </c>
      <c r="C4" s="2">
        <v>27713.307000000001</v>
      </c>
      <c r="D4" s="3">
        <v>2.1937500000000001</v>
      </c>
    </row>
    <row r="5" spans="1:6" ht="13.5" thickTop="1" x14ac:dyDescent="0.2">
      <c r="A5" s="10" t="s">
        <v>39</v>
      </c>
      <c r="B5" s="11"/>
      <c r="C5" s="12">
        <v>-9.5</v>
      </c>
      <c r="D5" s="11" t="s">
        <v>40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27713.307000000001</v>
      </c>
    </row>
    <row r="8" spans="1:6" x14ac:dyDescent="0.2">
      <c r="A8" t="s">
        <v>4</v>
      </c>
      <c r="C8">
        <f>+D4</f>
        <v>2.1937500000000001</v>
      </c>
    </row>
    <row r="9" spans="1:6" x14ac:dyDescent="0.2">
      <c r="A9" s="25" t="s">
        <v>44</v>
      </c>
      <c r="B9" s="26">
        <v>22</v>
      </c>
      <c r="C9" s="14" t="str">
        <f>"F"&amp;B9</f>
        <v>F22</v>
      </c>
      <c r="D9" s="15" t="str">
        <f>"G"&amp;B9</f>
        <v>G22</v>
      </c>
    </row>
    <row r="10" spans="1:6" ht="13.5" thickBot="1" x14ac:dyDescent="0.25">
      <c r="A10" s="11"/>
      <c r="B10" s="11"/>
      <c r="C10" s="5" t="s">
        <v>21</v>
      </c>
      <c r="D10" s="5" t="s">
        <v>22</v>
      </c>
      <c r="E10" s="11"/>
    </row>
    <row r="11" spans="1:6" x14ac:dyDescent="0.2">
      <c r="A11" s="11" t="s">
        <v>17</v>
      </c>
      <c r="B11" s="11"/>
      <c r="C11" s="13">
        <f ca="1">INTERCEPT(INDIRECT($D$9):G992,INDIRECT($C$9):F992)</f>
        <v>-7.6918947226011763E-3</v>
      </c>
      <c r="D11" s="4"/>
      <c r="E11" s="11"/>
    </row>
    <row r="12" spans="1:6" x14ac:dyDescent="0.2">
      <c r="A12" s="11" t="s">
        <v>18</v>
      </c>
      <c r="B12" s="11"/>
      <c r="C12" s="13">
        <f ca="1">SLOPE(INDIRECT($D$9):G992,INDIRECT($C$9):F992)</f>
        <v>-3.2284766868554455E-7</v>
      </c>
      <c r="D12" s="4"/>
      <c r="E12" s="11"/>
    </row>
    <row r="13" spans="1:6" x14ac:dyDescent="0.2">
      <c r="A13" s="11" t="s">
        <v>20</v>
      </c>
      <c r="B13" s="11"/>
      <c r="C13" s="4" t="s">
        <v>15</v>
      </c>
    </row>
    <row r="14" spans="1:6" x14ac:dyDescent="0.2">
      <c r="A14" s="11"/>
      <c r="B14" s="11"/>
      <c r="C14" s="11"/>
    </row>
    <row r="15" spans="1:6" x14ac:dyDescent="0.2">
      <c r="A15" s="16" t="s">
        <v>19</v>
      </c>
      <c r="B15" s="11"/>
      <c r="C15" s="17">
        <f ca="1">(C7+C11)+(C8+C12)*INT(MAX(F21:F3533))</f>
        <v>57256.526210315729</v>
      </c>
      <c r="E15" s="18" t="s">
        <v>45</v>
      </c>
      <c r="F15" s="12">
        <v>1</v>
      </c>
    </row>
    <row r="16" spans="1:6" x14ac:dyDescent="0.2">
      <c r="A16" s="20" t="s">
        <v>5</v>
      </c>
      <c r="B16" s="11"/>
      <c r="C16" s="21">
        <f ca="1">+C8+C12</f>
        <v>2.1937496771523315</v>
      </c>
      <c r="E16" s="18" t="s">
        <v>41</v>
      </c>
      <c r="F16" s="19">
        <f ca="1">NOW()+15018.5+$C$5/24</f>
        <v>60320.730831828703</v>
      </c>
    </row>
    <row r="17" spans="1:32" ht="13.5" thickBot="1" x14ac:dyDescent="0.25">
      <c r="A17" s="18" t="s">
        <v>36</v>
      </c>
      <c r="B17" s="11"/>
      <c r="C17" s="11">
        <f>COUNT(C21:C2191)</f>
        <v>14</v>
      </c>
      <c r="E17" s="18" t="s">
        <v>46</v>
      </c>
      <c r="F17" s="19">
        <f ca="1">ROUND(2*(F16-$C$7)/$C$8,0)/2+F15</f>
        <v>14865</v>
      </c>
    </row>
    <row r="18" spans="1:32" ht="14.25" thickTop="1" thickBot="1" x14ac:dyDescent="0.25">
      <c r="A18" s="20" t="s">
        <v>6</v>
      </c>
      <c r="B18" s="11"/>
      <c r="C18" s="23">
        <f ca="1">+C15</f>
        <v>57256.526210315729</v>
      </c>
      <c r="D18" s="24">
        <f ca="1">+C16</f>
        <v>2.1937496771523315</v>
      </c>
      <c r="E18" s="18" t="s">
        <v>42</v>
      </c>
      <c r="F18" s="15">
        <f ca="1">ROUND(2*(F16-$C$15)/$C$16,0)/2+F15</f>
        <v>1398</v>
      </c>
    </row>
    <row r="19" spans="1:32" ht="13.5" thickTop="1" x14ac:dyDescent="0.2">
      <c r="E19" s="18" t="s">
        <v>43</v>
      </c>
      <c r="F19" s="22">
        <f ca="1">+$C$15+$C$16*F18-15018.5-$C$5/24</f>
        <v>45305.284092308022</v>
      </c>
    </row>
    <row r="20" spans="1:32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59</v>
      </c>
      <c r="I20" s="8" t="s">
        <v>62</v>
      </c>
      <c r="J20" s="8" t="s">
        <v>56</v>
      </c>
      <c r="K20" s="8" t="s">
        <v>54</v>
      </c>
      <c r="L20" s="8" t="s">
        <v>108</v>
      </c>
      <c r="M20" s="8" t="s">
        <v>109</v>
      </c>
      <c r="N20" s="8" t="s">
        <v>110</v>
      </c>
      <c r="O20" s="8" t="s">
        <v>24</v>
      </c>
      <c r="P20" s="7" t="s">
        <v>23</v>
      </c>
      <c r="Q20" s="5" t="s">
        <v>16</v>
      </c>
      <c r="U20" s="55" t="s">
        <v>111</v>
      </c>
    </row>
    <row r="21" spans="1:32" x14ac:dyDescent="0.2">
      <c r="A21" s="27" t="s">
        <v>13</v>
      </c>
      <c r="B21" s="27"/>
      <c r="C21" s="29">
        <v>27713.307000000001</v>
      </c>
      <c r="D21" s="29" t="s">
        <v>15</v>
      </c>
      <c r="E21" s="27">
        <f t="shared" ref="E21:E33" si="0">+(C21-C$7)/C$8</f>
        <v>0</v>
      </c>
      <c r="F21" s="27">
        <f t="shared" ref="F21:F34" si="1">ROUND(2*E21,0)/2</f>
        <v>0</v>
      </c>
      <c r="G21" s="27">
        <f>+C21-(C$7+F21*C$8)</f>
        <v>0</v>
      </c>
      <c r="H21" s="27">
        <f>+G21</f>
        <v>0</v>
      </c>
      <c r="I21" s="27"/>
      <c r="J21" s="27"/>
      <c r="K21" s="27"/>
      <c r="L21" s="27"/>
      <c r="M21" s="27"/>
      <c r="N21" s="27"/>
      <c r="O21" s="27">
        <f t="shared" ref="O21:O33" ca="1" si="2">+C$11+C$12*F21</f>
        <v>-7.6918947226011763E-3</v>
      </c>
      <c r="P21" s="27"/>
      <c r="Q21" s="28">
        <f t="shared" ref="Q21:Q33" si="3">+C21-15018.5</f>
        <v>12694.807000000001</v>
      </c>
      <c r="R21" s="27"/>
      <c r="S21" s="27"/>
    </row>
    <row r="22" spans="1:32" x14ac:dyDescent="0.2">
      <c r="A22" s="27" t="s">
        <v>27</v>
      </c>
      <c r="B22" s="27"/>
      <c r="C22" s="29">
        <v>44846.483999999997</v>
      </c>
      <c r="D22" s="29"/>
      <c r="E22" s="27">
        <f t="shared" si="0"/>
        <v>7809.9952136752117</v>
      </c>
      <c r="F22" s="27">
        <f t="shared" si="1"/>
        <v>7810</v>
      </c>
      <c r="G22" s="27">
        <f>+C22-(C$7+F22*C$8)</f>
        <v>-1.0500000003958121E-2</v>
      </c>
      <c r="H22" s="27"/>
      <c r="I22" s="27">
        <f>G22</f>
        <v>-1.0500000003958121E-2</v>
      </c>
      <c r="J22" s="27"/>
      <c r="K22" s="27"/>
      <c r="L22" s="27"/>
      <c r="M22" s="27"/>
      <c r="N22" s="27"/>
      <c r="O22" s="27">
        <f t="shared" ca="1" si="2"/>
        <v>-1.0213335015035279E-2</v>
      </c>
      <c r="P22" s="27"/>
      <c r="Q22" s="28">
        <f t="shared" si="3"/>
        <v>29827.983999999997</v>
      </c>
      <c r="R22" s="27"/>
      <c r="S22" s="27"/>
      <c r="AA22">
        <v>7</v>
      </c>
      <c r="AC22" t="s">
        <v>26</v>
      </c>
      <c r="AF22" t="s">
        <v>28</v>
      </c>
    </row>
    <row r="23" spans="1:32" x14ac:dyDescent="0.2">
      <c r="A23" s="27" t="s">
        <v>29</v>
      </c>
      <c r="B23" s="27"/>
      <c r="C23" s="29">
        <v>45151.423999999999</v>
      </c>
      <c r="D23" s="29"/>
      <c r="E23" s="27">
        <f t="shared" si="0"/>
        <v>7948.9992022792012</v>
      </c>
      <c r="F23" s="27">
        <f t="shared" si="1"/>
        <v>7949</v>
      </c>
      <c r="G23" s="27"/>
      <c r="H23" s="27"/>
      <c r="J23" s="27"/>
      <c r="K23" s="27"/>
      <c r="L23" s="27"/>
      <c r="M23" s="27"/>
      <c r="N23" s="27"/>
      <c r="O23" s="27">
        <f t="shared" ca="1" si="2"/>
        <v>-1.025821084098257E-2</v>
      </c>
      <c r="P23" s="27"/>
      <c r="Q23" s="28">
        <f t="shared" si="3"/>
        <v>30132.923999999999</v>
      </c>
      <c r="R23" s="27"/>
      <c r="S23" s="27"/>
      <c r="U23" s="31">
        <v>-1.750000003085006E-3</v>
      </c>
      <c r="AA23">
        <v>6</v>
      </c>
      <c r="AC23" t="s">
        <v>26</v>
      </c>
      <c r="AF23" t="s">
        <v>28</v>
      </c>
    </row>
    <row r="24" spans="1:32" x14ac:dyDescent="0.2">
      <c r="A24" s="27" t="s">
        <v>30</v>
      </c>
      <c r="B24" s="27"/>
      <c r="C24" s="29">
        <v>46590.531999999999</v>
      </c>
      <c r="D24" s="29"/>
      <c r="E24" s="27">
        <f t="shared" si="0"/>
        <v>8605.0028490028471</v>
      </c>
      <c r="F24" s="27">
        <f t="shared" si="1"/>
        <v>8605</v>
      </c>
      <c r="G24" s="27"/>
      <c r="H24" s="27"/>
      <c r="J24" s="27"/>
      <c r="K24" s="27"/>
      <c r="L24" s="27"/>
      <c r="M24" s="27"/>
      <c r="N24" s="27"/>
      <c r="O24" s="27">
        <f t="shared" ca="1" si="2"/>
        <v>-1.0469998911640287E-2</v>
      </c>
      <c r="P24" s="27"/>
      <c r="Q24" s="28">
        <f t="shared" si="3"/>
        <v>31572.031999999999</v>
      </c>
      <c r="R24" s="27"/>
      <c r="S24" s="27"/>
      <c r="U24" s="31">
        <v>6.2499999985448085E-3</v>
      </c>
      <c r="AA24">
        <v>6</v>
      </c>
      <c r="AC24" t="s">
        <v>26</v>
      </c>
      <c r="AF24" t="s">
        <v>28</v>
      </c>
    </row>
    <row r="25" spans="1:32" x14ac:dyDescent="0.2">
      <c r="A25" s="32" t="s">
        <v>31</v>
      </c>
      <c r="B25" s="32"/>
      <c r="C25" s="33">
        <v>46702.396000000001</v>
      </c>
      <c r="D25" s="33"/>
      <c r="E25" s="27">
        <f t="shared" si="0"/>
        <v>8655.9949857549855</v>
      </c>
      <c r="F25" s="27">
        <f t="shared" si="1"/>
        <v>8656</v>
      </c>
      <c r="G25" s="27">
        <f t="shared" ref="G25:G33" si="4">+C25-(C$7+F25*C$8)</f>
        <v>-1.1000000005878974E-2</v>
      </c>
      <c r="H25" s="27"/>
      <c r="I25" s="27">
        <f>G25</f>
        <v>-1.1000000005878974E-2</v>
      </c>
      <c r="J25" s="27"/>
      <c r="K25" s="27"/>
      <c r="L25" s="27"/>
      <c r="M25" s="27"/>
      <c r="N25" s="27"/>
      <c r="O25" s="27">
        <f t="shared" ca="1" si="2"/>
        <v>-1.048646414274325E-2</v>
      </c>
      <c r="P25" s="27"/>
      <c r="Q25" s="28">
        <f t="shared" si="3"/>
        <v>31683.896000000001</v>
      </c>
      <c r="R25" s="27"/>
      <c r="S25" s="27"/>
      <c r="AA25">
        <v>6</v>
      </c>
      <c r="AC25" t="s">
        <v>26</v>
      </c>
      <c r="AF25" t="s">
        <v>28</v>
      </c>
    </row>
    <row r="26" spans="1:32" x14ac:dyDescent="0.2">
      <c r="A26" s="32" t="s">
        <v>34</v>
      </c>
      <c r="B26" s="32"/>
      <c r="C26" s="33">
        <v>50721.344899999996</v>
      </c>
      <c r="D26" s="33">
        <v>5.9999999999999995E-4</v>
      </c>
      <c r="E26" s="27">
        <f t="shared" si="0"/>
        <v>10487.994484330482</v>
      </c>
      <c r="F26" s="27">
        <f t="shared" si="1"/>
        <v>10488</v>
      </c>
      <c r="G26" s="27">
        <f t="shared" si="4"/>
        <v>-1.2100000007194467E-2</v>
      </c>
      <c r="H26" s="27"/>
      <c r="K26" s="27">
        <f>G26</f>
        <v>-1.2100000007194467E-2</v>
      </c>
      <c r="L26" s="27"/>
      <c r="M26" s="27"/>
      <c r="N26" s="27"/>
      <c r="O26" s="27">
        <f t="shared" ca="1" si="2"/>
        <v>-1.1077921071775167E-2</v>
      </c>
      <c r="P26" s="27"/>
      <c r="Q26" s="28">
        <f t="shared" si="3"/>
        <v>35702.844899999996</v>
      </c>
      <c r="R26" s="27"/>
      <c r="S26" s="27"/>
      <c r="AA26">
        <v>13</v>
      </c>
      <c r="AC26" t="s">
        <v>32</v>
      </c>
      <c r="AD26" t="s">
        <v>33</v>
      </c>
      <c r="AF26" t="s">
        <v>28</v>
      </c>
    </row>
    <row r="27" spans="1:32" x14ac:dyDescent="0.2">
      <c r="A27" s="32" t="s">
        <v>35</v>
      </c>
      <c r="B27" s="32"/>
      <c r="C27" s="33">
        <v>50927.5605</v>
      </c>
      <c r="D27" s="33">
        <v>1.9E-3</v>
      </c>
      <c r="E27" s="27">
        <f t="shared" si="0"/>
        <v>10581.995897435896</v>
      </c>
      <c r="F27" s="27">
        <f t="shared" si="1"/>
        <v>10582</v>
      </c>
      <c r="G27" s="27">
        <f t="shared" si="4"/>
        <v>-8.9999999981955625E-3</v>
      </c>
      <c r="H27" s="27"/>
      <c r="I27" s="27"/>
      <c r="J27" s="27">
        <f>G27</f>
        <v>-8.9999999981955625E-3</v>
      </c>
      <c r="K27" s="27"/>
      <c r="L27" s="27"/>
      <c r="M27" s="27"/>
      <c r="N27" s="27"/>
      <c r="O27" s="27">
        <f t="shared" ca="1" si="2"/>
        <v>-1.1108268752631609E-2</v>
      </c>
      <c r="P27" s="27"/>
      <c r="Q27" s="28">
        <f t="shared" si="3"/>
        <v>35909.0605</v>
      </c>
      <c r="R27" s="27"/>
      <c r="S27" s="27"/>
    </row>
    <row r="28" spans="1:32" x14ac:dyDescent="0.2">
      <c r="A28" s="31" t="s">
        <v>81</v>
      </c>
      <c r="B28" s="53" t="s">
        <v>50</v>
      </c>
      <c r="C28" s="33">
        <v>54312.5144</v>
      </c>
      <c r="D28" s="33" t="s">
        <v>62</v>
      </c>
      <c r="E28" s="27">
        <f t="shared" si="0"/>
        <v>12124.994826210825</v>
      </c>
      <c r="F28" s="27">
        <f t="shared" si="1"/>
        <v>12125</v>
      </c>
      <c r="G28" s="27">
        <f t="shared" si="4"/>
        <v>-1.1350000000675209E-2</v>
      </c>
      <c r="H28" s="27"/>
      <c r="I28" s="27"/>
      <c r="K28" s="27">
        <f>G28</f>
        <v>-1.1350000000675209E-2</v>
      </c>
      <c r="L28" s="27"/>
      <c r="M28" s="27"/>
      <c r="N28" s="27"/>
      <c r="O28" s="27">
        <f t="shared" ca="1" si="2"/>
        <v>-1.1606422705413403E-2</v>
      </c>
      <c r="P28" s="27"/>
      <c r="Q28" s="28">
        <f t="shared" si="3"/>
        <v>39294.0144</v>
      </c>
      <c r="R28" s="27"/>
      <c r="S28" s="27"/>
    </row>
    <row r="29" spans="1:32" x14ac:dyDescent="0.2">
      <c r="A29" s="31" t="s">
        <v>81</v>
      </c>
      <c r="B29" s="54" t="s">
        <v>50</v>
      </c>
      <c r="C29" s="29">
        <v>54389.295299999998</v>
      </c>
      <c r="D29" s="29" t="s">
        <v>62</v>
      </c>
      <c r="E29" s="27">
        <f t="shared" si="0"/>
        <v>12159.994666666666</v>
      </c>
      <c r="F29" s="27">
        <f t="shared" si="1"/>
        <v>12160</v>
      </c>
      <c r="G29" s="27">
        <f t="shared" si="4"/>
        <v>-1.1700000002747402E-2</v>
      </c>
      <c r="H29" s="27"/>
      <c r="I29" s="27"/>
      <c r="K29" s="27">
        <f>G29</f>
        <v>-1.1700000002747402E-2</v>
      </c>
      <c r="L29" s="27"/>
      <c r="M29" s="27"/>
      <c r="N29" s="27"/>
      <c r="O29" s="27">
        <f t="shared" ca="1" si="2"/>
        <v>-1.1617722373817398E-2</v>
      </c>
      <c r="P29" s="27"/>
      <c r="Q29" s="28">
        <f t="shared" si="3"/>
        <v>39370.795299999998</v>
      </c>
      <c r="R29" s="27"/>
      <c r="S29" s="27"/>
    </row>
    <row r="30" spans="1:32" x14ac:dyDescent="0.2">
      <c r="A30" s="31" t="s">
        <v>90</v>
      </c>
      <c r="B30" s="54" t="s">
        <v>48</v>
      </c>
      <c r="C30" s="29">
        <v>54719.457199999997</v>
      </c>
      <c r="D30" s="29" t="s">
        <v>62</v>
      </c>
      <c r="E30" s="27">
        <f t="shared" si="0"/>
        <v>12310.495817663816</v>
      </c>
      <c r="F30" s="27">
        <f t="shared" si="1"/>
        <v>12310.5</v>
      </c>
      <c r="G30" s="27">
        <f t="shared" si="4"/>
        <v>-9.1750000065076165E-3</v>
      </c>
      <c r="H30" s="27"/>
      <c r="I30" s="27"/>
      <c r="K30" s="27">
        <f>G30</f>
        <v>-9.1750000065076165E-3</v>
      </c>
      <c r="L30" s="27"/>
      <c r="M30" s="27"/>
      <c r="N30" s="27"/>
      <c r="O30" s="27">
        <f t="shared" ca="1" si="2"/>
        <v>-1.1666310947954572E-2</v>
      </c>
      <c r="P30" s="27"/>
      <c r="Q30" s="28">
        <f t="shared" si="3"/>
        <v>39700.957199999997</v>
      </c>
      <c r="R30" s="27"/>
      <c r="S30" s="27"/>
    </row>
    <row r="31" spans="1:32" x14ac:dyDescent="0.2">
      <c r="A31" s="34" t="s">
        <v>47</v>
      </c>
      <c r="B31" s="35" t="s">
        <v>48</v>
      </c>
      <c r="C31" s="34">
        <v>55353.447</v>
      </c>
      <c r="D31" s="34">
        <v>3.8E-3</v>
      </c>
      <c r="E31" s="27">
        <f t="shared" si="0"/>
        <v>12599.494017094017</v>
      </c>
      <c r="F31" s="27">
        <f t="shared" si="1"/>
        <v>12599.5</v>
      </c>
      <c r="G31" s="27">
        <f t="shared" si="4"/>
        <v>-1.3124999997671694E-2</v>
      </c>
      <c r="H31" s="27"/>
      <c r="I31" s="27"/>
      <c r="J31" s="27">
        <f>G31</f>
        <v>-1.3124999997671694E-2</v>
      </c>
      <c r="K31" s="27"/>
      <c r="L31" s="27"/>
      <c r="M31" s="27"/>
      <c r="N31" s="27"/>
      <c r="O31" s="27">
        <f t="shared" ca="1" si="2"/>
        <v>-1.1759613924204694E-2</v>
      </c>
      <c r="P31" s="27"/>
      <c r="Q31" s="28">
        <f t="shared" si="3"/>
        <v>40334.947</v>
      </c>
      <c r="R31" s="27"/>
      <c r="S31" s="27"/>
    </row>
    <row r="32" spans="1:32" x14ac:dyDescent="0.2">
      <c r="A32" s="34" t="s">
        <v>49</v>
      </c>
      <c r="B32" s="35" t="s">
        <v>50</v>
      </c>
      <c r="C32" s="34">
        <v>55727.481</v>
      </c>
      <c r="D32" s="34">
        <v>4.0000000000000002E-4</v>
      </c>
      <c r="E32" s="27">
        <f t="shared" si="0"/>
        <v>12769.993846153846</v>
      </c>
      <c r="F32" s="27">
        <f t="shared" si="1"/>
        <v>12770</v>
      </c>
      <c r="G32" s="27">
        <f t="shared" si="4"/>
        <v>-1.3500000000931323E-2</v>
      </c>
      <c r="H32" s="27"/>
      <c r="I32" s="27"/>
      <c r="J32" s="27">
        <f>G32</f>
        <v>-1.3500000000931323E-2</v>
      </c>
      <c r="K32" s="27"/>
      <c r="L32" s="27"/>
      <c r="M32" s="27"/>
      <c r="N32" s="27"/>
      <c r="O32" s="27">
        <f t="shared" ca="1" si="2"/>
        <v>-1.181465945171558E-2</v>
      </c>
      <c r="P32" s="27"/>
      <c r="Q32" s="28">
        <f t="shared" si="3"/>
        <v>40708.981</v>
      </c>
      <c r="R32" s="27"/>
      <c r="S32" s="27"/>
    </row>
    <row r="33" spans="1:19" x14ac:dyDescent="0.2">
      <c r="A33" s="36" t="s">
        <v>51</v>
      </c>
      <c r="B33" s="37" t="s">
        <v>50</v>
      </c>
      <c r="C33" s="38">
        <v>56542.461600000002</v>
      </c>
      <c r="D33" s="39">
        <v>2.3E-3</v>
      </c>
      <c r="E33" s="27">
        <f t="shared" si="0"/>
        <v>13141.494974358975</v>
      </c>
      <c r="F33" s="27">
        <f t="shared" si="1"/>
        <v>13141.5</v>
      </c>
      <c r="G33" s="27">
        <f t="shared" si="4"/>
        <v>-1.1024999999790452E-2</v>
      </c>
      <c r="H33" s="27"/>
      <c r="I33" s="27"/>
      <c r="J33" s="27">
        <f>G33</f>
        <v>-1.1024999999790452E-2</v>
      </c>
      <c r="K33" s="27"/>
      <c r="L33" s="27"/>
      <c r="M33" s="27"/>
      <c r="N33" s="27"/>
      <c r="O33" s="27">
        <f t="shared" ca="1" si="2"/>
        <v>-1.193459736063226E-2</v>
      </c>
      <c r="P33" s="27"/>
      <c r="Q33" s="28">
        <f t="shared" si="3"/>
        <v>41523.961600000002</v>
      </c>
      <c r="R33" s="27"/>
      <c r="S33" s="27"/>
    </row>
    <row r="34" spans="1:19" x14ac:dyDescent="0.2">
      <c r="A34" s="56" t="s">
        <v>0</v>
      </c>
      <c r="B34" s="57" t="s">
        <v>50</v>
      </c>
      <c r="C34" s="58">
        <v>57256.525399999999</v>
      </c>
      <c r="D34" s="59">
        <v>1.6000000000000001E-3</v>
      </c>
      <c r="E34" s="27">
        <f>+(C34-C$7)/C$8</f>
        <v>13466.994142450141</v>
      </c>
      <c r="F34" s="27">
        <f t="shared" si="1"/>
        <v>13467</v>
      </c>
      <c r="G34" s="27">
        <f>+C34-(C$7+F34*C$8)</f>
        <v>-1.284999999916181E-2</v>
      </c>
      <c r="H34" s="27"/>
      <c r="I34" s="27"/>
      <c r="K34" s="27">
        <f>G34</f>
        <v>-1.284999999916181E-2</v>
      </c>
      <c r="L34" s="27"/>
      <c r="M34" s="27"/>
      <c r="N34" s="27"/>
      <c r="O34" s="27">
        <f ca="1">+C$11+C$12*F34</f>
        <v>-1.2039684276789406E-2</v>
      </c>
      <c r="P34" s="27"/>
      <c r="Q34" s="28">
        <f>+C34-15018.5</f>
        <v>42238.025399999999</v>
      </c>
      <c r="R34" s="27"/>
      <c r="S34" s="27"/>
    </row>
    <row r="35" spans="1:19" x14ac:dyDescent="0.2">
      <c r="A35" s="27"/>
      <c r="B35" s="27"/>
      <c r="C35" s="29"/>
      <c r="D35" s="2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x14ac:dyDescent="0.2">
      <c r="A36" s="27"/>
      <c r="B36" s="27"/>
      <c r="C36" s="29"/>
      <c r="D36" s="29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x14ac:dyDescent="0.2">
      <c r="C37" s="30"/>
      <c r="D37" s="30"/>
    </row>
    <row r="38" spans="1:19" x14ac:dyDescent="0.2">
      <c r="C38" s="30"/>
      <c r="D38" s="30"/>
    </row>
    <row r="39" spans="1:19" x14ac:dyDescent="0.2">
      <c r="D39" s="4"/>
    </row>
    <row r="40" spans="1:19" x14ac:dyDescent="0.2">
      <c r="D40" s="4"/>
    </row>
    <row r="41" spans="1:19" x14ac:dyDescent="0.2">
      <c r="D41" s="4"/>
    </row>
    <row r="42" spans="1:19" x14ac:dyDescent="0.2">
      <c r="D42" s="4"/>
    </row>
    <row r="43" spans="1:19" x14ac:dyDescent="0.2">
      <c r="D43" s="4"/>
    </row>
    <row r="44" spans="1:19" x14ac:dyDescent="0.2">
      <c r="D44" s="4"/>
    </row>
    <row r="45" spans="1:19" x14ac:dyDescent="0.2">
      <c r="D45" s="4"/>
    </row>
    <row r="46" spans="1:19" x14ac:dyDescent="0.2">
      <c r="D46" s="4"/>
    </row>
  </sheetData>
  <phoneticPr fontId="8" type="noConversion"/>
  <hyperlinks>
    <hyperlink ref="H338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6"/>
  <sheetViews>
    <sheetView workbookViewId="0">
      <selection activeCell="A13" sqref="A13:D15"/>
    </sheetView>
  </sheetViews>
  <sheetFormatPr defaultRowHeight="12.75" x14ac:dyDescent="0.2"/>
  <cols>
    <col min="1" max="1" width="19.7109375" style="30" customWidth="1"/>
    <col min="2" max="2" width="4.42578125" style="11" customWidth="1"/>
    <col min="3" max="3" width="12.7109375" style="30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30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0" t="s">
        <v>52</v>
      </c>
      <c r="I1" s="41" t="s">
        <v>53</v>
      </c>
      <c r="J1" s="42" t="s">
        <v>54</v>
      </c>
    </row>
    <row r="2" spans="1:16" x14ac:dyDescent="0.2">
      <c r="I2" s="43" t="s">
        <v>55</v>
      </c>
      <c r="J2" s="44" t="s">
        <v>56</v>
      </c>
    </row>
    <row r="3" spans="1:16" x14ac:dyDescent="0.2">
      <c r="A3" s="45" t="s">
        <v>57</v>
      </c>
      <c r="I3" s="43" t="s">
        <v>58</v>
      </c>
      <c r="J3" s="44" t="s">
        <v>59</v>
      </c>
    </row>
    <row r="4" spans="1:16" x14ac:dyDescent="0.2">
      <c r="I4" s="43" t="s">
        <v>60</v>
      </c>
      <c r="J4" s="44" t="s">
        <v>59</v>
      </c>
    </row>
    <row r="5" spans="1:16" ht="13.5" thickBot="1" x14ac:dyDescent="0.25">
      <c r="I5" s="46" t="s">
        <v>61</v>
      </c>
      <c r="J5" s="47" t="s">
        <v>62</v>
      </c>
    </row>
    <row r="10" spans="1:16" ht="13.5" thickBot="1" x14ac:dyDescent="0.25"/>
    <row r="11" spans="1:16" ht="12.75" customHeight="1" thickBot="1" x14ac:dyDescent="0.25">
      <c r="A11" s="30" t="str">
        <f t="shared" ref="A11:A18" si="0">P11</f>
        <v> BBS 116 </v>
      </c>
      <c r="B11" s="4" t="str">
        <f t="shared" ref="B11:B18" si="1">IF(H11=INT(H11),"I","II")</f>
        <v>I</v>
      </c>
      <c r="C11" s="30">
        <f t="shared" ref="C11:C18" si="2">1*G11</f>
        <v>50721.344899999996</v>
      </c>
      <c r="D11" s="11" t="str">
        <f t="shared" ref="D11:D18" si="3">VLOOKUP(F11,I$1:J$5,2,FALSE)</f>
        <v>vis</v>
      </c>
      <c r="E11" s="48">
        <f>VLOOKUP(C11,Active!C$21:E$973,3,FALSE)</f>
        <v>10487.994484330482</v>
      </c>
      <c r="F11" s="4" t="s">
        <v>61</v>
      </c>
      <c r="G11" s="11" t="str">
        <f t="shared" ref="G11:G18" si="4">MID(I11,3,LEN(I11)-3)</f>
        <v>50721.3449</v>
      </c>
      <c r="H11" s="30">
        <f t="shared" ref="H11:H18" si="5">1*K11</f>
        <v>-2282</v>
      </c>
      <c r="I11" s="49" t="s">
        <v>63</v>
      </c>
      <c r="J11" s="50" t="s">
        <v>64</v>
      </c>
      <c r="K11" s="49">
        <v>-2282</v>
      </c>
      <c r="L11" s="49" t="s">
        <v>65</v>
      </c>
      <c r="M11" s="50" t="s">
        <v>66</v>
      </c>
      <c r="N11" s="50" t="s">
        <v>67</v>
      </c>
      <c r="O11" s="51" t="s">
        <v>68</v>
      </c>
      <c r="P11" s="51" t="s">
        <v>69</v>
      </c>
    </row>
    <row r="12" spans="1:16" ht="12.75" customHeight="1" thickBot="1" x14ac:dyDescent="0.25">
      <c r="A12" s="30" t="str">
        <f t="shared" si="0"/>
        <v>IBVS 4888 </v>
      </c>
      <c r="B12" s="4" t="str">
        <f t="shared" si="1"/>
        <v>I</v>
      </c>
      <c r="C12" s="30">
        <f t="shared" si="2"/>
        <v>50927.5605</v>
      </c>
      <c r="D12" s="11" t="str">
        <f t="shared" si="3"/>
        <v>vis</v>
      </c>
      <c r="E12" s="48">
        <f>VLOOKUP(C12,Active!C$21:E$973,3,FALSE)</f>
        <v>10581.995897435896</v>
      </c>
      <c r="F12" s="4" t="s">
        <v>61</v>
      </c>
      <c r="G12" s="11" t="str">
        <f t="shared" si="4"/>
        <v>50927.5605</v>
      </c>
      <c r="H12" s="30">
        <f t="shared" si="5"/>
        <v>-2188</v>
      </c>
      <c r="I12" s="49" t="s">
        <v>70</v>
      </c>
      <c r="J12" s="50" t="s">
        <v>71</v>
      </c>
      <c r="K12" s="49">
        <v>-2188</v>
      </c>
      <c r="L12" s="49" t="s">
        <v>72</v>
      </c>
      <c r="M12" s="50" t="s">
        <v>66</v>
      </c>
      <c r="N12" s="50" t="s">
        <v>67</v>
      </c>
      <c r="O12" s="51" t="s">
        <v>73</v>
      </c>
      <c r="P12" s="52" t="s">
        <v>74</v>
      </c>
    </row>
    <row r="13" spans="1:16" ht="12.75" customHeight="1" thickBot="1" x14ac:dyDescent="0.25">
      <c r="A13" s="30" t="str">
        <f t="shared" si="0"/>
        <v>BAVM 193 </v>
      </c>
      <c r="B13" s="4" t="str">
        <f t="shared" si="1"/>
        <v>I</v>
      </c>
      <c r="C13" s="30">
        <f t="shared" si="2"/>
        <v>54312.5144</v>
      </c>
      <c r="D13" s="11" t="str">
        <f t="shared" si="3"/>
        <v>vis</v>
      </c>
      <c r="E13" s="48">
        <f>VLOOKUP(C13,Active!C$21:E$973,3,FALSE)</f>
        <v>12124.994826210825</v>
      </c>
      <c r="F13" s="4" t="s">
        <v>61</v>
      </c>
      <c r="G13" s="11" t="str">
        <f t="shared" si="4"/>
        <v>54312.5144</v>
      </c>
      <c r="H13" s="30">
        <f t="shared" si="5"/>
        <v>-645</v>
      </c>
      <c r="I13" s="49" t="s">
        <v>75</v>
      </c>
      <c r="J13" s="50" t="s">
        <v>76</v>
      </c>
      <c r="K13" s="49">
        <v>-645</v>
      </c>
      <c r="L13" s="49" t="s">
        <v>77</v>
      </c>
      <c r="M13" s="50" t="s">
        <v>78</v>
      </c>
      <c r="N13" s="50" t="s">
        <v>79</v>
      </c>
      <c r="O13" s="51" t="s">
        <v>80</v>
      </c>
      <c r="P13" s="52" t="s">
        <v>81</v>
      </c>
    </row>
    <row r="14" spans="1:16" ht="12.75" customHeight="1" thickBot="1" x14ac:dyDescent="0.25">
      <c r="A14" s="30" t="str">
        <f t="shared" si="0"/>
        <v>BAVM 193 </v>
      </c>
      <c r="B14" s="4" t="str">
        <f t="shared" si="1"/>
        <v>I</v>
      </c>
      <c r="C14" s="30">
        <f t="shared" si="2"/>
        <v>54389.295299999998</v>
      </c>
      <c r="D14" s="11" t="str">
        <f t="shared" si="3"/>
        <v>vis</v>
      </c>
      <c r="E14" s="48">
        <f>VLOOKUP(C14,Active!C$21:E$973,3,FALSE)</f>
        <v>12159.994666666666</v>
      </c>
      <c r="F14" s="4" t="s">
        <v>61</v>
      </c>
      <c r="G14" s="11" t="str">
        <f t="shared" si="4"/>
        <v>54389.2953</v>
      </c>
      <c r="H14" s="30">
        <f t="shared" si="5"/>
        <v>-610</v>
      </c>
      <c r="I14" s="49" t="s">
        <v>82</v>
      </c>
      <c r="J14" s="50" t="s">
        <v>83</v>
      </c>
      <c r="K14" s="49" t="s">
        <v>84</v>
      </c>
      <c r="L14" s="49" t="s">
        <v>85</v>
      </c>
      <c r="M14" s="50" t="s">
        <v>78</v>
      </c>
      <c r="N14" s="50" t="s">
        <v>79</v>
      </c>
      <c r="O14" s="51" t="s">
        <v>80</v>
      </c>
      <c r="P14" s="52" t="s">
        <v>81</v>
      </c>
    </row>
    <row r="15" spans="1:16" ht="12.75" customHeight="1" thickBot="1" x14ac:dyDescent="0.25">
      <c r="A15" s="30" t="str">
        <f t="shared" si="0"/>
        <v>BAVM 203 </v>
      </c>
      <c r="B15" s="4" t="str">
        <f t="shared" si="1"/>
        <v>II</v>
      </c>
      <c r="C15" s="30">
        <f t="shared" si="2"/>
        <v>54719.457199999997</v>
      </c>
      <c r="D15" s="11" t="str">
        <f t="shared" si="3"/>
        <v>vis</v>
      </c>
      <c r="E15" s="48">
        <f>VLOOKUP(C15,Active!C$21:E$973,3,FALSE)</f>
        <v>12310.495817663816</v>
      </c>
      <c r="F15" s="4" t="s">
        <v>61</v>
      </c>
      <c r="G15" s="11" t="str">
        <f t="shared" si="4"/>
        <v>54719.4572</v>
      </c>
      <c r="H15" s="30">
        <f t="shared" si="5"/>
        <v>-459.5</v>
      </c>
      <c r="I15" s="49" t="s">
        <v>86</v>
      </c>
      <c r="J15" s="50" t="s">
        <v>87</v>
      </c>
      <c r="K15" s="49" t="s">
        <v>88</v>
      </c>
      <c r="L15" s="49" t="s">
        <v>89</v>
      </c>
      <c r="M15" s="50" t="s">
        <v>78</v>
      </c>
      <c r="N15" s="50" t="s">
        <v>79</v>
      </c>
      <c r="O15" s="51" t="s">
        <v>80</v>
      </c>
      <c r="P15" s="52" t="s">
        <v>90</v>
      </c>
    </row>
    <row r="16" spans="1:16" ht="12.75" customHeight="1" thickBot="1" x14ac:dyDescent="0.25">
      <c r="A16" s="30" t="str">
        <f t="shared" si="0"/>
        <v>BAVM 214 </v>
      </c>
      <c r="B16" s="4" t="str">
        <f t="shared" si="1"/>
        <v>II</v>
      </c>
      <c r="C16" s="30">
        <f t="shared" si="2"/>
        <v>55353.447</v>
      </c>
      <c r="D16" s="11" t="str">
        <f t="shared" si="3"/>
        <v>vis</v>
      </c>
      <c r="E16" s="48">
        <f>VLOOKUP(C16,Active!C$21:E$973,3,FALSE)</f>
        <v>12599.494017094017</v>
      </c>
      <c r="F16" s="4" t="s">
        <v>61</v>
      </c>
      <c r="G16" s="11" t="str">
        <f t="shared" si="4"/>
        <v>55353.4470</v>
      </c>
      <c r="H16" s="30">
        <f t="shared" si="5"/>
        <v>-170.5</v>
      </c>
      <c r="I16" s="49" t="s">
        <v>91</v>
      </c>
      <c r="J16" s="50" t="s">
        <v>92</v>
      </c>
      <c r="K16" s="49" t="s">
        <v>93</v>
      </c>
      <c r="L16" s="49" t="s">
        <v>94</v>
      </c>
      <c r="M16" s="50" t="s">
        <v>78</v>
      </c>
      <c r="N16" s="50" t="s">
        <v>79</v>
      </c>
      <c r="O16" s="51" t="s">
        <v>80</v>
      </c>
      <c r="P16" s="52" t="s">
        <v>95</v>
      </c>
    </row>
    <row r="17" spans="1:16" ht="12.75" customHeight="1" thickBot="1" x14ac:dyDescent="0.25">
      <c r="A17" s="30" t="str">
        <f t="shared" si="0"/>
        <v>BAVM 220 </v>
      </c>
      <c r="B17" s="4" t="str">
        <f t="shared" si="1"/>
        <v>I</v>
      </c>
      <c r="C17" s="30">
        <f t="shared" si="2"/>
        <v>55727.481</v>
      </c>
      <c r="D17" s="11" t="str">
        <f t="shared" si="3"/>
        <v>vis</v>
      </c>
      <c r="E17" s="48">
        <f>VLOOKUP(C17,Active!C$21:E$973,3,FALSE)</f>
        <v>12769.993846153846</v>
      </c>
      <c r="F17" s="4" t="s">
        <v>61</v>
      </c>
      <c r="G17" s="11" t="str">
        <f t="shared" si="4"/>
        <v>55727.4810</v>
      </c>
      <c r="H17" s="30">
        <f t="shared" si="5"/>
        <v>0</v>
      </c>
      <c r="I17" s="49" t="s">
        <v>96</v>
      </c>
      <c r="J17" s="50" t="s">
        <v>97</v>
      </c>
      <c r="K17" s="49" t="s">
        <v>98</v>
      </c>
      <c r="L17" s="49" t="s">
        <v>99</v>
      </c>
      <c r="M17" s="50" t="s">
        <v>78</v>
      </c>
      <c r="N17" s="50" t="s">
        <v>100</v>
      </c>
      <c r="O17" s="51" t="s">
        <v>101</v>
      </c>
      <c r="P17" s="52" t="s">
        <v>102</v>
      </c>
    </row>
    <row r="18" spans="1:16" ht="12.75" customHeight="1" thickBot="1" x14ac:dyDescent="0.25">
      <c r="A18" s="30" t="str">
        <f t="shared" si="0"/>
        <v>BAVM 234 </v>
      </c>
      <c r="B18" s="4" t="str">
        <f t="shared" si="1"/>
        <v>II</v>
      </c>
      <c r="C18" s="30">
        <f t="shared" si="2"/>
        <v>56542.461600000002</v>
      </c>
      <c r="D18" s="11" t="str">
        <f t="shared" si="3"/>
        <v>vis</v>
      </c>
      <c r="E18" s="48">
        <f>VLOOKUP(C18,Active!C$21:E$973,3,FALSE)</f>
        <v>13141.494974358975</v>
      </c>
      <c r="F18" s="4" t="s">
        <v>61</v>
      </c>
      <c r="G18" s="11" t="str">
        <f t="shared" si="4"/>
        <v>56542.4616</v>
      </c>
      <c r="H18" s="30">
        <f t="shared" si="5"/>
        <v>371.5</v>
      </c>
      <c r="I18" s="49" t="s">
        <v>103</v>
      </c>
      <c r="J18" s="50" t="s">
        <v>104</v>
      </c>
      <c r="K18" s="49" t="s">
        <v>105</v>
      </c>
      <c r="L18" s="49" t="s">
        <v>106</v>
      </c>
      <c r="M18" s="50" t="s">
        <v>78</v>
      </c>
      <c r="N18" s="50" t="s">
        <v>79</v>
      </c>
      <c r="O18" s="51" t="s">
        <v>80</v>
      </c>
      <c r="P18" s="52" t="s">
        <v>107</v>
      </c>
    </row>
    <row r="19" spans="1:16" x14ac:dyDescent="0.2">
      <c r="B19" s="4"/>
      <c r="F19" s="4"/>
    </row>
    <row r="20" spans="1:16" x14ac:dyDescent="0.2">
      <c r="B20" s="4"/>
      <c r="F20" s="4"/>
    </row>
    <row r="21" spans="1:16" x14ac:dyDescent="0.2">
      <c r="B21" s="4"/>
      <c r="F21" s="4"/>
    </row>
    <row r="22" spans="1:16" x14ac:dyDescent="0.2">
      <c r="B22" s="4"/>
      <c r="F22" s="4"/>
    </row>
    <row r="23" spans="1:16" x14ac:dyDescent="0.2">
      <c r="B23" s="4"/>
      <c r="F23" s="4"/>
    </row>
    <row r="24" spans="1:16" x14ac:dyDescent="0.2">
      <c r="B24" s="4"/>
      <c r="F24" s="4"/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</sheetData>
  <phoneticPr fontId="8" type="noConversion"/>
  <hyperlinks>
    <hyperlink ref="A3" r:id="rId1"/>
    <hyperlink ref="P12" r:id="rId2" display="http://www.konkoly.hu/cgi-bin/IBVS?4888"/>
    <hyperlink ref="P13" r:id="rId3" display="http://www.bav-astro.de/sfs/BAVM_link.php?BAVMnr=193"/>
    <hyperlink ref="P14" r:id="rId4" display="http://www.bav-astro.de/sfs/BAVM_link.php?BAVMnr=193"/>
    <hyperlink ref="P15" r:id="rId5" display="http://www.bav-astro.de/sfs/BAVM_link.php?BAVMnr=203"/>
    <hyperlink ref="P16" r:id="rId6" display="http://www.bav-astro.de/sfs/BAVM_link.php?BAVMnr=214"/>
    <hyperlink ref="P17" r:id="rId7" display="http://www.bav-astro.de/sfs/BAVM_link.php?BAVMnr=220"/>
    <hyperlink ref="P18" r:id="rId8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2024-01-11T04:32:23Z</dcterms:modified>
</cp:coreProperties>
</file>