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D52DFBF-E467-4ACA-BBC9-7319C090F8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64" i="1" l="1"/>
  <c r="D11" i="1"/>
  <c r="W25" i="1" s="1"/>
  <c r="D12" i="1"/>
  <c r="W30" i="1" s="1"/>
  <c r="D13" i="1"/>
  <c r="Q62" i="1"/>
  <c r="Q63" i="1"/>
  <c r="W22" i="1"/>
  <c r="Q21" i="1"/>
  <c r="W16" i="1"/>
  <c r="W14" i="1"/>
  <c r="W13" i="1"/>
  <c r="W12" i="1"/>
  <c r="W10" i="1"/>
  <c r="W8" i="1"/>
  <c r="W6" i="1"/>
  <c r="W5" i="1"/>
  <c r="W4" i="1"/>
  <c r="W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2" i="1"/>
  <c r="Q56" i="1"/>
  <c r="Q57" i="1"/>
  <c r="Q58" i="1"/>
  <c r="G19" i="2"/>
  <c r="C19" i="2"/>
  <c r="G18" i="2"/>
  <c r="C18" i="2"/>
  <c r="G17" i="2"/>
  <c r="C17" i="2"/>
  <c r="G50" i="2"/>
  <c r="C50" i="2"/>
  <c r="G49" i="2"/>
  <c r="C49" i="2"/>
  <c r="G48" i="2"/>
  <c r="C48" i="2"/>
  <c r="G16" i="2"/>
  <c r="C16" i="2"/>
  <c r="G15" i="2"/>
  <c r="C15" i="2"/>
  <c r="G14" i="2"/>
  <c r="C14" i="2"/>
  <c r="G47" i="2"/>
  <c r="C47" i="2"/>
  <c r="G13" i="2"/>
  <c r="C13" i="2"/>
  <c r="G12" i="2"/>
  <c r="C12" i="2"/>
  <c r="G11" i="2"/>
  <c r="C11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9" i="2"/>
  <c r="D19" i="2"/>
  <c r="B19" i="2"/>
  <c r="A19" i="2"/>
  <c r="H18" i="2"/>
  <c r="D18" i="2"/>
  <c r="B18" i="2"/>
  <c r="A18" i="2"/>
  <c r="H17" i="2"/>
  <c r="D17" i="2"/>
  <c r="B17" i="2"/>
  <c r="A17" i="2"/>
  <c r="H50" i="2"/>
  <c r="D50" i="2"/>
  <c r="B50" i="2"/>
  <c r="A50" i="2"/>
  <c r="H49" i="2"/>
  <c r="D49" i="2"/>
  <c r="B49" i="2"/>
  <c r="A49" i="2"/>
  <c r="H48" i="2"/>
  <c r="D48" i="2"/>
  <c r="B48" i="2"/>
  <c r="A48" i="2"/>
  <c r="H16" i="2"/>
  <c r="D16" i="2"/>
  <c r="B16" i="2"/>
  <c r="A16" i="2"/>
  <c r="H15" i="2"/>
  <c r="D15" i="2"/>
  <c r="B15" i="2"/>
  <c r="A15" i="2"/>
  <c r="H14" i="2"/>
  <c r="D14" i="2"/>
  <c r="B14" i="2"/>
  <c r="A14" i="2"/>
  <c r="H47" i="2"/>
  <c r="D47" i="2"/>
  <c r="B47" i="2"/>
  <c r="A47" i="2"/>
  <c r="H13" i="2"/>
  <c r="D13" i="2"/>
  <c r="B13" i="2"/>
  <c r="A13" i="2"/>
  <c r="H12" i="2"/>
  <c r="D12" i="2"/>
  <c r="B12" i="2"/>
  <c r="A12" i="2"/>
  <c r="H11" i="2"/>
  <c r="D11" i="2"/>
  <c r="B11" i="2"/>
  <c r="A11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Q59" i="1"/>
  <c r="F16" i="1"/>
  <c r="F17" i="1" s="1"/>
  <c r="Q60" i="1"/>
  <c r="Q61" i="1"/>
  <c r="Q55" i="1"/>
  <c r="Q54" i="1"/>
  <c r="Q49" i="1"/>
  <c r="Q50" i="1"/>
  <c r="Q51" i="1"/>
  <c r="Q53" i="1"/>
  <c r="C7" i="1"/>
  <c r="E64" i="1"/>
  <c r="F64" i="1"/>
  <c r="C8" i="1"/>
  <c r="E35" i="1"/>
  <c r="F35" i="1"/>
  <c r="C17" i="1"/>
  <c r="Q35" i="1"/>
  <c r="E16" i="2"/>
  <c r="E46" i="2"/>
  <c r="E41" i="2"/>
  <c r="E13" i="2"/>
  <c r="G60" i="1"/>
  <c r="K60" i="1"/>
  <c r="E59" i="1"/>
  <c r="F59" i="1"/>
  <c r="P59" i="1"/>
  <c r="G47" i="1"/>
  <c r="I47" i="1"/>
  <c r="E23" i="1"/>
  <c r="F23" i="1"/>
  <c r="E27" i="1"/>
  <c r="F27" i="1"/>
  <c r="P27" i="1"/>
  <c r="E31" i="1"/>
  <c r="F31" i="1"/>
  <c r="E36" i="1"/>
  <c r="F36" i="1"/>
  <c r="E40" i="1"/>
  <c r="F40" i="1"/>
  <c r="P40" i="1"/>
  <c r="E44" i="1"/>
  <c r="F44" i="1"/>
  <c r="G44" i="1"/>
  <c r="I44" i="1"/>
  <c r="E48" i="1"/>
  <c r="F48" i="1"/>
  <c r="P48" i="1"/>
  <c r="E63" i="1"/>
  <c r="F63" i="1"/>
  <c r="P63" i="1"/>
  <c r="P64" i="1"/>
  <c r="G55" i="1"/>
  <c r="J55" i="1"/>
  <c r="E54" i="1"/>
  <c r="F54" i="1"/>
  <c r="P54" i="1"/>
  <c r="G29" i="1"/>
  <c r="I29" i="1"/>
  <c r="W24" i="1"/>
  <c r="E60" i="1"/>
  <c r="F60" i="1"/>
  <c r="P60" i="1"/>
  <c r="R60" i="1"/>
  <c r="T60" i="1"/>
  <c r="G51" i="1"/>
  <c r="J51" i="1"/>
  <c r="E49" i="1"/>
  <c r="F49" i="1"/>
  <c r="P49" i="1"/>
  <c r="G37" i="1"/>
  <c r="I37" i="1"/>
  <c r="G28" i="1"/>
  <c r="I28" i="1"/>
  <c r="E24" i="1"/>
  <c r="F24" i="1"/>
  <c r="P24" i="1"/>
  <c r="R24" i="1" s="1"/>
  <c r="T24" i="1" s="1"/>
  <c r="E28" i="1"/>
  <c r="F28" i="1"/>
  <c r="E32" i="1"/>
  <c r="F32" i="1"/>
  <c r="P32" i="1"/>
  <c r="E37" i="1"/>
  <c r="F37" i="1"/>
  <c r="P37" i="1"/>
  <c r="R37" i="1" s="1"/>
  <c r="T37" i="1" s="1"/>
  <c r="E41" i="1"/>
  <c r="F41" i="1"/>
  <c r="P41" i="1"/>
  <c r="E45" i="1"/>
  <c r="F45" i="1"/>
  <c r="G45" i="1"/>
  <c r="I45" i="1"/>
  <c r="E52" i="1"/>
  <c r="F52" i="1"/>
  <c r="P52" i="1"/>
  <c r="R52" i="1" s="1"/>
  <c r="T52" i="1" s="1"/>
  <c r="P35" i="1"/>
  <c r="R35" i="1"/>
  <c r="T35" i="1" s="1"/>
  <c r="W31" i="1"/>
  <c r="W23" i="1"/>
  <c r="G62" i="1"/>
  <c r="K62" i="1"/>
  <c r="E55" i="1"/>
  <c r="F55" i="1"/>
  <c r="G36" i="1"/>
  <c r="I36" i="1"/>
  <c r="E56" i="1"/>
  <c r="F56" i="1"/>
  <c r="P56" i="1"/>
  <c r="R56" i="1" s="1"/>
  <c r="T56" i="1" s="1"/>
  <c r="E51" i="1"/>
  <c r="F51" i="1"/>
  <c r="P51" i="1"/>
  <c r="R51" i="1"/>
  <c r="T51" i="1" s="1"/>
  <c r="G57" i="1"/>
  <c r="K57" i="1"/>
  <c r="G43" i="1"/>
  <c r="I43" i="1"/>
  <c r="E21" i="1"/>
  <c r="F21" i="1"/>
  <c r="P21" i="1"/>
  <c r="R21" i="1" s="1"/>
  <c r="T21" i="1" s="1"/>
  <c r="E25" i="1"/>
  <c r="F25" i="1"/>
  <c r="P25" i="1"/>
  <c r="E29" i="1"/>
  <c r="F29" i="1"/>
  <c r="E33" i="1"/>
  <c r="F33" i="1"/>
  <c r="P33" i="1"/>
  <c r="R33" i="1" s="1"/>
  <c r="T33" i="1" s="1"/>
  <c r="E38" i="1"/>
  <c r="F38" i="1"/>
  <c r="P38" i="1"/>
  <c r="E42" i="1"/>
  <c r="F42" i="1"/>
  <c r="G42" i="1"/>
  <c r="I42" i="1"/>
  <c r="E46" i="1"/>
  <c r="F46" i="1"/>
  <c r="P46" i="1"/>
  <c r="E57" i="1"/>
  <c r="F57" i="1"/>
  <c r="P57" i="1"/>
  <c r="P45" i="1"/>
  <c r="P29" i="1"/>
  <c r="W29" i="1"/>
  <c r="W21" i="1"/>
  <c r="E62" i="1"/>
  <c r="F62" i="1"/>
  <c r="P62" i="1"/>
  <c r="R62" i="1" s="1"/>
  <c r="T62" i="1" s="1"/>
  <c r="E61" i="1"/>
  <c r="F61" i="1"/>
  <c r="P61" i="1"/>
  <c r="G56" i="1"/>
  <c r="K56" i="1"/>
  <c r="G33" i="1"/>
  <c r="I33" i="1"/>
  <c r="E58" i="1"/>
  <c r="F58" i="1"/>
  <c r="G58" i="1"/>
  <c r="K58" i="1"/>
  <c r="W17" i="1"/>
  <c r="P42" i="1"/>
  <c r="W28" i="1"/>
  <c r="W20" i="1"/>
  <c r="G64" i="1"/>
  <c r="K64" i="1"/>
  <c r="G59" i="1"/>
  <c r="J59" i="1"/>
  <c r="E53" i="1"/>
  <c r="F53" i="1"/>
  <c r="G53" i="1"/>
  <c r="K53" i="1"/>
  <c r="G52" i="1"/>
  <c r="I52" i="1"/>
  <c r="G41" i="1"/>
  <c r="I41" i="1"/>
  <c r="G24" i="1"/>
  <c r="I24" i="1"/>
  <c r="E22" i="1"/>
  <c r="F22" i="1"/>
  <c r="P22" i="1"/>
  <c r="E26" i="1"/>
  <c r="F26" i="1"/>
  <c r="P26" i="1"/>
  <c r="E30" i="1"/>
  <c r="F30" i="1"/>
  <c r="P30" i="1"/>
  <c r="E34" i="1"/>
  <c r="F34" i="1"/>
  <c r="P34" i="1"/>
  <c r="E39" i="1"/>
  <c r="F39" i="1"/>
  <c r="P39" i="1"/>
  <c r="E43" i="1"/>
  <c r="F43" i="1"/>
  <c r="P43" i="1"/>
  <c r="R43" i="1" s="1"/>
  <c r="T43" i="1" s="1"/>
  <c r="E47" i="1"/>
  <c r="F47" i="1"/>
  <c r="P55" i="1"/>
  <c r="P47" i="1"/>
  <c r="R47" i="1"/>
  <c r="T47" i="1" s="1"/>
  <c r="P31" i="1"/>
  <c r="P23" i="1"/>
  <c r="W27" i="1"/>
  <c r="W19" i="1"/>
  <c r="G63" i="1"/>
  <c r="J63" i="1"/>
  <c r="G54" i="1"/>
  <c r="K54" i="1"/>
  <c r="E50" i="1"/>
  <c r="F50" i="1"/>
  <c r="G50" i="1"/>
  <c r="J50" i="1"/>
  <c r="G48" i="1"/>
  <c r="I48" i="1"/>
  <c r="G31" i="1"/>
  <c r="I31" i="1"/>
  <c r="G23" i="1"/>
  <c r="I23" i="1"/>
  <c r="P36" i="1"/>
  <c r="R36" i="1" s="1"/>
  <c r="T36" i="1" s="1"/>
  <c r="P28" i="1"/>
  <c r="R28" i="1"/>
  <c r="T28" i="1" s="1"/>
  <c r="W26" i="1"/>
  <c r="R26" i="1"/>
  <c r="T26" i="1"/>
  <c r="R42" i="1"/>
  <c r="T42" i="1"/>
  <c r="R45" i="1"/>
  <c r="T45" i="1"/>
  <c r="G39" i="1"/>
  <c r="I39" i="1"/>
  <c r="P50" i="1"/>
  <c r="R50" i="1"/>
  <c r="T50" i="1" s="1"/>
  <c r="G38" i="1"/>
  <c r="I38" i="1"/>
  <c r="G40" i="1"/>
  <c r="I40" i="1"/>
  <c r="R31" i="1"/>
  <c r="T31" i="1" s="1"/>
  <c r="P58" i="1"/>
  <c r="R58" i="1" s="1"/>
  <c r="T58" i="1" s="1"/>
  <c r="R57" i="1"/>
  <c r="T57" i="1"/>
  <c r="G26" i="1"/>
  <c r="I26" i="1"/>
  <c r="G27" i="1"/>
  <c r="I27" i="1"/>
  <c r="R41" i="1"/>
  <c r="T41" i="1"/>
  <c r="G46" i="1"/>
  <c r="I46" i="1"/>
  <c r="G49" i="1"/>
  <c r="J49" i="1"/>
  <c r="P44" i="1"/>
  <c r="R44" i="1"/>
  <c r="T44" i="1"/>
  <c r="E39" i="2"/>
  <c r="E22" i="2"/>
  <c r="E38" i="2"/>
  <c r="E45" i="2"/>
  <c r="P53" i="1"/>
  <c r="R53" i="1" s="1"/>
  <c r="T53" i="1" s="1"/>
  <c r="R46" i="1"/>
  <c r="T46" i="1"/>
  <c r="G34" i="1"/>
  <c r="I34" i="1"/>
  <c r="R49" i="1"/>
  <c r="T49" i="1"/>
  <c r="R54" i="1"/>
  <c r="T54" i="1"/>
  <c r="R59" i="1"/>
  <c r="T59" i="1"/>
  <c r="E18" i="2"/>
  <c r="E17" i="2"/>
  <c r="E11" i="2"/>
  <c r="E31" i="2"/>
  <c r="E37" i="2"/>
  <c r="E21" i="2"/>
  <c r="E26" i="2"/>
  <c r="E25" i="2"/>
  <c r="E42" i="2"/>
  <c r="E50" i="2"/>
  <c r="E36" i="2"/>
  <c r="E20" i="2"/>
  <c r="R55" i="1"/>
  <c r="T55" i="1"/>
  <c r="R64" i="1"/>
  <c r="T64" i="1"/>
  <c r="G32" i="1"/>
  <c r="I32" i="1"/>
  <c r="R63" i="1"/>
  <c r="T63" i="1"/>
  <c r="G22" i="1"/>
  <c r="I22" i="1"/>
  <c r="E34" i="2"/>
  <c r="E33" i="2"/>
  <c r="E32" i="2"/>
  <c r="E19" i="2"/>
  <c r="E44" i="2"/>
  <c r="R22" i="1"/>
  <c r="T22" i="1" s="1"/>
  <c r="E47" i="2"/>
  <c r="G25" i="1"/>
  <c r="I25" i="1"/>
  <c r="R29" i="1"/>
  <c r="T29" i="1"/>
  <c r="G61" i="1"/>
  <c r="J61" i="1"/>
  <c r="G21" i="1"/>
  <c r="R48" i="1"/>
  <c r="T48" i="1" s="1"/>
  <c r="G30" i="1"/>
  <c r="I30" i="1"/>
  <c r="E15" i="2"/>
  <c r="E23" i="2"/>
  <c r="E28" i="2"/>
  <c r="E49" i="2"/>
  <c r="E35" i="2"/>
  <c r="E30" i="2"/>
  <c r="D15" i="1"/>
  <c r="C19" i="1" s="1"/>
  <c r="E24" i="2"/>
  <c r="E40" i="2"/>
  <c r="D16" i="1"/>
  <c r="D19" i="1" s="1"/>
  <c r="E48" i="2"/>
  <c r="E43" i="2"/>
  <c r="R25" i="1"/>
  <c r="T25" i="1" s="1"/>
  <c r="R23" i="1"/>
  <c r="T23" i="1"/>
  <c r="R40" i="1"/>
  <c r="T40" i="1" s="1"/>
  <c r="E14" i="2"/>
  <c r="E27" i="2"/>
  <c r="E12" i="2"/>
  <c r="E29" i="2"/>
  <c r="I21" i="1"/>
  <c r="R38" i="1"/>
  <c r="T38" i="1" s="1"/>
  <c r="R61" i="1"/>
  <c r="T61" i="1" s="1"/>
  <c r="R32" i="1"/>
  <c r="T32" i="1"/>
  <c r="R30" i="1"/>
  <c r="T30" i="1" s="1"/>
  <c r="R27" i="1"/>
  <c r="T27" i="1" s="1"/>
  <c r="R34" i="1"/>
  <c r="T34" i="1" s="1"/>
  <c r="R39" i="1"/>
  <c r="T39" i="1"/>
  <c r="C12" i="1"/>
  <c r="C11" i="1"/>
  <c r="O27" i="1" l="1"/>
  <c r="O40" i="1"/>
  <c r="O61" i="1"/>
  <c r="O38" i="1"/>
  <c r="O41" i="1"/>
  <c r="O48" i="1"/>
  <c r="O32" i="1"/>
  <c r="O36" i="1"/>
  <c r="O62" i="1"/>
  <c r="O53" i="1"/>
  <c r="O39" i="1"/>
  <c r="O52" i="1"/>
  <c r="O55" i="1"/>
  <c r="O56" i="1"/>
  <c r="O44" i="1"/>
  <c r="O51" i="1"/>
  <c r="O29" i="1"/>
  <c r="O22" i="1"/>
  <c r="O54" i="1"/>
  <c r="O58" i="1"/>
  <c r="O46" i="1"/>
  <c r="O33" i="1"/>
  <c r="C15" i="1"/>
  <c r="O47" i="1"/>
  <c r="O60" i="1"/>
  <c r="O31" i="1"/>
  <c r="O63" i="1"/>
  <c r="O35" i="1"/>
  <c r="O64" i="1"/>
  <c r="O49" i="1"/>
  <c r="O45" i="1"/>
  <c r="O57" i="1"/>
  <c r="O25" i="1"/>
  <c r="O43" i="1"/>
  <c r="O28" i="1"/>
  <c r="O30" i="1"/>
  <c r="O23" i="1"/>
  <c r="O26" i="1"/>
  <c r="O42" i="1"/>
  <c r="O50" i="1"/>
  <c r="O37" i="1"/>
  <c r="O59" i="1"/>
  <c r="O24" i="1"/>
  <c r="O34" i="1"/>
  <c r="O21" i="1"/>
  <c r="C16" i="1"/>
  <c r="D18" i="1" s="1"/>
  <c r="E14" i="1"/>
  <c r="W7" i="1"/>
  <c r="W15" i="1"/>
  <c r="W9" i="1"/>
  <c r="W18" i="1"/>
  <c r="W3" i="1"/>
  <c r="W11" i="1"/>
  <c r="C18" i="1" l="1"/>
  <c r="F18" i="1"/>
  <c r="F19" i="1" s="1"/>
</calcChain>
</file>

<file path=xl/sharedStrings.xml><?xml version="1.0" encoding="utf-8"?>
<sst xmlns="http://schemas.openxmlformats.org/spreadsheetml/2006/main" count="478" uniqueCount="214">
  <si>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</si>
  <si>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</si>
  <si>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</si>
  <si>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</si>
  <si>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</si>
  <si>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</si>
  <si>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</si>
  <si>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</si>
  <si>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</si>
  <si>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</si>
  <si>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</si>
  <si>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</si>
  <si>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</si>
  <si>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</si>
  <si>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</si>
  <si>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</si>
  <si>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</si>
  <si>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</si>
  <si>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</si>
  <si>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</si>
  <si>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</si>
  <si>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</si>
  <si>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</si>
  <si>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</si>
  <si>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</si>
  <si>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</si>
  <si>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EB:/KE:</t>
  </si>
  <si>
    <t>IBVS 4382</t>
  </si>
  <si>
    <t>II</t>
  </si>
  <si>
    <t>IBVS 5594</t>
  </si>
  <si>
    <t>I</t>
  </si>
  <si>
    <t># of data points:</t>
  </si>
  <si>
    <t>V1096 Aql / na</t>
  </si>
  <si>
    <t>OK at that location in DSS image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</si>
  <si>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</si>
  <si>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</si>
  <si>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</si>
  <si>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</si>
  <si>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</si>
  <si>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</si>
  <si>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</si>
  <si>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</si>
  <si>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0160</t>
  </si>
  <si>
    <t>IBVS 6070</t>
  </si>
  <si>
    <t>Add cycle</t>
  </si>
  <si>
    <t>Old Cycle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</si>
  <si>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</si>
  <si>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</si>
  <si>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</si>
  <si>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</si>
  <si>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</si>
  <si>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</si>
  <si>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</si>
  <si>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</si>
  <si>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</si>
  <si>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</si>
  <si>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</si>
  <si>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</si>
  <si>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2426928.417 </t>
  </si>
  <si>
    <t> 08.08.1932 22:00 </t>
  </si>
  <si>
    <t> 0.073 </t>
  </si>
  <si>
    <t>P </t>
  </si>
  <si>
    <t> G.Richter </t>
  </si>
  <si>
    <t> VSS 4.484 </t>
  </si>
  <si>
    <t>2427931.529 </t>
  </si>
  <si>
    <t> 09.05.1935 00:41 </t>
  </si>
  <si>
    <t> 0.140 </t>
  </si>
  <si>
    <t>2428035.416 </t>
  </si>
  <si>
    <t> 20.08.1935 21:59 </t>
  </si>
  <si>
    <t> 0.110 </t>
  </si>
  <si>
    <t>2428074.319 </t>
  </si>
  <si>
    <t> 28.09.1935 19:39 </t>
  </si>
  <si>
    <t> 0.114 </t>
  </si>
  <si>
    <t>2428286.580 </t>
  </si>
  <si>
    <t> 28.04.1936 01:55 </t>
  </si>
  <si>
    <t> 0.096 </t>
  </si>
  <si>
    <t>2428340.474 </t>
  </si>
  <si>
    <t> 20.06.1936 23:22 </t>
  </si>
  <si>
    <t> 0.087 </t>
  </si>
  <si>
    <t>2428429.335 </t>
  </si>
  <si>
    <t> 17.09.1936 20:02 </t>
  </si>
  <si>
    <t> 0.035 </t>
  </si>
  <si>
    <t>2429162.321 </t>
  </si>
  <si>
    <t> 20.09.1938 19:42 </t>
  </si>
  <si>
    <t> 0.047 </t>
  </si>
  <si>
    <t>2429541.313 </t>
  </si>
  <si>
    <t> 04.10.1939 19:30 </t>
  </si>
  <si>
    <t> 0.049 </t>
  </si>
  <si>
    <t>2430958.382 </t>
  </si>
  <si>
    <t> 21.08.1943 21:10 </t>
  </si>
  <si>
    <t>2431318.464 </t>
  </si>
  <si>
    <t> 15.08.1944 23:08 </t>
  </si>
  <si>
    <t> 0.059 </t>
  </si>
  <si>
    <t>2434152.523 </t>
  </si>
  <si>
    <t> 20.05.1952 00:33 </t>
  </si>
  <si>
    <t> 0.028 </t>
  </si>
  <si>
    <t>2434191.447 </t>
  </si>
  <si>
    <t> 27.06.1952 22:43 </t>
  </si>
  <si>
    <t> 0.053 </t>
  </si>
  <si>
    <t>2434192.492 </t>
  </si>
  <si>
    <t> 28.06.1952 23:48 </t>
  </si>
  <si>
    <t> -0.014 </t>
  </si>
  <si>
    <t>2434211.434 </t>
  </si>
  <si>
    <t> 17.07.1952 22:24 </t>
  </si>
  <si>
    <t> 0.034 </t>
  </si>
  <si>
    <t>2436755.380 </t>
  </si>
  <si>
    <t> 05.07.1959 21:07 </t>
  </si>
  <si>
    <t> -0.032 </t>
  </si>
  <si>
    <t>V </t>
  </si>
  <si>
    <t>2436757.616 </t>
  </si>
  <si>
    <t> 08.07.1959 02:47 </t>
  </si>
  <si>
    <t> -0.019 </t>
  </si>
  <si>
    <t>2436760.370 </t>
  </si>
  <si>
    <t> 10.07.1959 20:52 </t>
  </si>
  <si>
    <t> -0.044 </t>
  </si>
  <si>
    <t>2436775.390 </t>
  </si>
  <si>
    <t> 25.07.1959 21:21 </t>
  </si>
  <si>
    <t> -0.028 </t>
  </si>
  <si>
    <t>2436780.380 </t>
  </si>
  <si>
    <t> 30.07.1959 21:07 </t>
  </si>
  <si>
    <t> -0.039 </t>
  </si>
  <si>
    <t>2436795.409 </t>
  </si>
  <si>
    <t> 14.08.1959 21:48 </t>
  </si>
  <si>
    <t>2436820.430 </t>
  </si>
  <si>
    <t> 08.09.1959 22:19 </t>
  </si>
  <si>
    <t> 0.000 </t>
  </si>
  <si>
    <t>2436821.484 </t>
  </si>
  <si>
    <t> 09.09.1959 23:36 </t>
  </si>
  <si>
    <t> -0.057 </t>
  </si>
  <si>
    <t>2436822.610 </t>
  </si>
  <si>
    <t> 11.09.1959 02:38 </t>
  </si>
  <si>
    <t> -0.042 </t>
  </si>
  <si>
    <t>2436849.306 </t>
  </si>
  <si>
    <t> 07.10.1959 19:20 </t>
  </si>
  <si>
    <t> -0.020 </t>
  </si>
  <si>
    <t>2436850.384 </t>
  </si>
  <si>
    <t> 08.10.1959 21:12 </t>
  </si>
  <si>
    <t> -0.054 </t>
  </si>
  <si>
    <t>2436876.476 </t>
  </si>
  <si>
    <t> 03.11.1959 23:25 </t>
  </si>
  <si>
    <t> -0.080 </t>
  </si>
  <si>
    <t>2449899.4748 </t>
  </si>
  <si>
    <t> 30.06.1995 23:23 </t>
  </si>
  <si>
    <t> -0.0030 </t>
  </si>
  <si>
    <t>E </t>
  </si>
  <si>
    <t>o</t>
  </si>
  <si>
    <t> F.Agerer </t>
  </si>
  <si>
    <t>BAVM 90 </t>
  </si>
  <si>
    <t>2449924.4847 </t>
  </si>
  <si>
    <t> 25.07.1995 23:37 </t>
  </si>
  <si>
    <t> 0.0002 </t>
  </si>
  <si>
    <t>2449929.4812 </t>
  </si>
  <si>
    <t> 30.07.1995 23:32 </t>
  </si>
  <si>
    <t> -0.0046 </t>
  </si>
  <si>
    <t>2451459.325 </t>
  </si>
  <si>
    <t> 07.10.1999 19:48 </t>
  </si>
  <si>
    <t>?</t>
  </si>
  <si>
    <t> R.Diethelm </t>
  </si>
  <si>
    <t> BBS 120 </t>
  </si>
  <si>
    <t>2452507.3773 </t>
  </si>
  <si>
    <t> 20.08.2002 21:03 </t>
  </si>
  <si>
    <t> -0.0192 </t>
  </si>
  <si>
    <t> Sarounova &amp; Wolf </t>
  </si>
  <si>
    <t>IBVS 5594 </t>
  </si>
  <si>
    <t>2452576.2861 </t>
  </si>
  <si>
    <t> 28.10.2002 18:51 </t>
  </si>
  <si>
    <t> -0.0177 </t>
  </si>
  <si>
    <t> E.Blättler </t>
  </si>
  <si>
    <t> BBS 129 </t>
  </si>
  <si>
    <t>2454023.3529 </t>
  </si>
  <si>
    <t> 14.10.2006 20:28 </t>
  </si>
  <si>
    <t> -0.0039 </t>
  </si>
  <si>
    <t>C </t>
  </si>
  <si>
    <t>-I</t>
  </si>
  <si>
    <t> F. Agerer </t>
  </si>
  <si>
    <t>BAVM 183 </t>
  </si>
  <si>
    <t>2454377.3405 </t>
  </si>
  <si>
    <t> 03.10.2007 20:10 </t>
  </si>
  <si>
    <t>-257.5</t>
  </si>
  <si>
    <t>BAVM 193 </t>
  </si>
  <si>
    <t>2454382.3398 </t>
  </si>
  <si>
    <t> 08.10.2007 20:09 </t>
  </si>
  <si>
    <t>-253</t>
  </si>
  <si>
    <t> -0.0018 </t>
  </si>
  <si>
    <t>2454663.5278 </t>
  </si>
  <si>
    <t> 16.07.2008 00:40 </t>
  </si>
  <si>
    <t>0</t>
  </si>
  <si>
    <t> 0.0000 </t>
  </si>
  <si>
    <t>BAVM 203 </t>
  </si>
  <si>
    <t>2455396.4980 </t>
  </si>
  <si>
    <t> 18.07.2010 23:57 </t>
  </si>
  <si>
    <t>659.5</t>
  </si>
  <si>
    <t> -0.0033 </t>
  </si>
  <si>
    <t>BAVM 215 </t>
  </si>
  <si>
    <t>2455705.47069 </t>
  </si>
  <si>
    <t> 23.05.2011 23:17 </t>
  </si>
  <si>
    <t>937.5</t>
  </si>
  <si>
    <t> -0.00202 </t>
  </si>
  <si>
    <t> V.P?ibik </t>
  </si>
  <si>
    <t>OEJV 0160 </t>
  </si>
  <si>
    <t>2456094.4667 </t>
  </si>
  <si>
    <t> 15.06.2012 23:12 </t>
  </si>
  <si>
    <t>1287.5</t>
  </si>
  <si>
    <t> 0.0012 </t>
  </si>
  <si>
    <t>BAVM 231 </t>
  </si>
  <si>
    <t>s5</t>
  </si>
  <si>
    <t>s6</t>
  </si>
  <si>
    <t>s7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</si>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</sst>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 applyAlignment="1">
      <alignment horizontal="center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5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9" fillId="0" borderId="0" xfId="0" applyFont="1" applyAlignment="1"/>
    <xf numFmtId="0" fontId="1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17" fillId="0" borderId="0" xfId="0" applyFont="1" applyAlignment="1"/>
    <xf numFmtId="14" fontId="9" fillId="0" borderId="0" xfId="0" applyNumberFormat="1" applyFont="1" applyAlignment="1"/>
    <xf numFmtId="0" fontId="22" fillId="0" borderId="0" xfId="0" applyFont="1" applyAlignment="1"/>
    <xf numFmtId="0" fontId="9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V1096 Aql - O-C Diagr.</a:t>
            </a:r>
          </a:p>
        </c:rich>
      </c:tx>
      <c:layout>
        <c:manualLayout>
          <c:xMode val="edge"/>
          <c:yMode val="edge"/>
          <c:x val="0.361874329521410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545497589659059"/>
          <c:w val="0.81583263062322564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5-449A-BF1D-DCDFEF498A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-3.7152000004425645E-2</c:v>
                </c:pt>
                <c:pt idx="1">
                  <c:v>4.3567999997321749E-2</c:v>
                </c:pt>
                <c:pt idx="2">
                  <c:v>1.5415999998367624E-2</c:v>
                </c:pt>
                <c:pt idx="3">
                  <c:v>1.9695999995747115E-2</c:v>
                </c:pt>
                <c:pt idx="4">
                  <c:v>4.8239999960060231E-3</c:v>
                </c:pt>
                <c:pt idx="5">
                  <c:v>-3.6880000079690944E-3</c:v>
                </c:pt>
                <c:pt idx="6">
                  <c:v>-5.4048000005423091E-2</c:v>
                </c:pt>
                <c:pt idx="7">
                  <c:v>-3.1072000001586275E-2</c:v>
                </c:pt>
                <c:pt idx="8">
                  <c:v>-2.3744000005535781E-2</c:v>
                </c:pt>
                <c:pt idx="9">
                  <c:v>2.0455999998375773E-2</c:v>
                </c:pt>
                <c:pt idx="10">
                  <c:v>1.1447999997471925E-2</c:v>
                </c:pt>
                <c:pt idx="11">
                  <c:v>2.0848000000114553E-2</c:v>
                </c:pt>
                <c:pt idx="12">
                  <c:v>4.6127999994496349E-2</c:v>
                </c:pt>
                <c:pt idx="13">
                  <c:v>-2.0264000006136484E-2</c:v>
                </c:pt>
                <c:pt idx="15">
                  <c:v>2.8072000000975095E-2</c:v>
                </c:pt>
                <c:pt idx="16">
                  <c:v>-2.2160000080475584E-3</c:v>
                </c:pt>
                <c:pt idx="17">
                  <c:v>1.0999999998603016E-2</c:v>
                </c:pt>
                <c:pt idx="18">
                  <c:v>-1.3480000001436565E-2</c:v>
                </c:pt>
                <c:pt idx="19">
                  <c:v>2.727999999478925E-3</c:v>
                </c:pt>
                <c:pt idx="20">
                  <c:v>-8.5360000084619969E-3</c:v>
                </c:pt>
                <c:pt idx="21">
                  <c:v>1.6671999997925013E-2</c:v>
                </c:pt>
                <c:pt idx="22">
                  <c:v>3.1351999998150859E-2</c:v>
                </c:pt>
                <c:pt idx="23">
                  <c:v>-2.6040000004286412E-2</c:v>
                </c:pt>
                <c:pt idx="24">
                  <c:v>-1.143199999933131E-2</c:v>
                </c:pt>
                <c:pt idx="25">
                  <c:v>1.1159999994561076E-2</c:v>
                </c:pt>
                <c:pt idx="26">
                  <c:v>-2.2232000002986751E-2</c:v>
                </c:pt>
                <c:pt idx="27">
                  <c:v>-4.7943999998096842E-2</c:v>
                </c:pt>
                <c:pt idx="31">
                  <c:v>0.2266239999953541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C5-449A-BF1D-DCDFEF498A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8">
                  <c:v>0.21509599999990314</c:v>
                </c:pt>
                <c:pt idx="29">
                  <c:v>0.21867599999677623</c:v>
                </c:pt>
                <c:pt idx="30">
                  <c:v>0.21391199999925448</c:v>
                </c:pt>
                <c:pt idx="34">
                  <c:v>0.27317999999650056</c:v>
                </c:pt>
                <c:pt idx="38">
                  <c:v>0.29346399999485584</c:v>
                </c:pt>
                <c:pt idx="40">
                  <c:v>0.30798799999320181</c:v>
                </c:pt>
                <c:pt idx="42">
                  <c:v>0.35285199999634642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C5-449A-BF1D-DCDFEF498A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2">
                  <c:v>0.23626800000056392</c:v>
                </c:pt>
                <c:pt idx="33">
                  <c:v>0.23876399999426212</c:v>
                </c:pt>
                <c:pt idx="35">
                  <c:v>0.28242799999861745</c:v>
                </c:pt>
                <c:pt idx="36">
                  <c:v>0.28046399999584537</c:v>
                </c:pt>
                <c:pt idx="37">
                  <c:v>0.28628800000296906</c:v>
                </c:pt>
                <c:pt idx="39">
                  <c:v>0.29917800000112038</c:v>
                </c:pt>
                <c:pt idx="41">
                  <c:v>0.35426000000006752</c:v>
                </c:pt>
                <c:pt idx="43">
                  <c:v>0.36359200006700121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C5-449A-BF1D-DCDFEF498A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C5-449A-BF1D-DCDFEF498A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C5-449A-BF1D-DCDFEF498A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1.2999999999999999E-3</c:v>
                  </c:pt>
                  <c:pt idx="29">
                    <c:v>6.9999999999999999E-4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2.9999999999999997E-4</c:v>
                  </c:pt>
                  <c:pt idx="33">
                    <c:v>1.1999999999999999E-3</c:v>
                  </c:pt>
                  <c:pt idx="34">
                    <c:v>1.5E-3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4.7000000000000002E-3</c:v>
                  </c:pt>
                  <c:pt idx="39">
                    <c:v>1E-3</c:v>
                  </c:pt>
                  <c:pt idx="40">
                    <c:v>5.5999999999999999E-3</c:v>
                  </c:pt>
                  <c:pt idx="41">
                    <c:v>2.7000000000000001E-3</c:v>
                  </c:pt>
                  <c:pt idx="42">
                    <c:v>8.8999999999999999E-3</c:v>
                  </c:pt>
                  <c:pt idx="4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C5-449A-BF1D-DCDFEF498A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-8844</c:v>
                </c:pt>
                <c:pt idx="1">
                  <c:v>-7941.5</c:v>
                </c:pt>
                <c:pt idx="2">
                  <c:v>-7848</c:v>
                </c:pt>
                <c:pt idx="3">
                  <c:v>-7813</c:v>
                </c:pt>
                <c:pt idx="4">
                  <c:v>-7622</c:v>
                </c:pt>
                <c:pt idx="5">
                  <c:v>-7573.5</c:v>
                </c:pt>
                <c:pt idx="6">
                  <c:v>-7493.5</c:v>
                </c:pt>
                <c:pt idx="7">
                  <c:v>-6834</c:v>
                </c:pt>
                <c:pt idx="8">
                  <c:v>-6493</c:v>
                </c:pt>
                <c:pt idx="9">
                  <c:v>-5218</c:v>
                </c:pt>
                <c:pt idx="10">
                  <c:v>-4894</c:v>
                </c:pt>
                <c:pt idx="11">
                  <c:v>-2344</c:v>
                </c:pt>
                <c:pt idx="12">
                  <c:v>-2309</c:v>
                </c:pt>
                <c:pt idx="13">
                  <c:v>-2308</c:v>
                </c:pt>
                <c:pt idx="14">
                  <c:v>0</c:v>
                </c:pt>
                <c:pt idx="15">
                  <c:v>-2291</c:v>
                </c:pt>
                <c:pt idx="16">
                  <c:v>-2</c:v>
                </c:pt>
                <c:pt idx="17">
                  <c:v>0</c:v>
                </c:pt>
                <c:pt idx="18">
                  <c:v>2.5</c:v>
                </c:pt>
                <c:pt idx="19">
                  <c:v>16</c:v>
                </c:pt>
                <c:pt idx="20">
                  <c:v>20.5</c:v>
                </c:pt>
                <c:pt idx="21">
                  <c:v>34</c:v>
                </c:pt>
                <c:pt idx="22">
                  <c:v>56.5</c:v>
                </c:pt>
                <c:pt idx="23">
                  <c:v>57.5</c:v>
                </c:pt>
                <c:pt idx="24">
                  <c:v>58.5</c:v>
                </c:pt>
                <c:pt idx="25">
                  <c:v>82.5</c:v>
                </c:pt>
                <c:pt idx="26">
                  <c:v>83.5</c:v>
                </c:pt>
                <c:pt idx="27">
                  <c:v>107</c:v>
                </c:pt>
                <c:pt idx="28">
                  <c:v>11824.5</c:v>
                </c:pt>
                <c:pt idx="29">
                  <c:v>11847</c:v>
                </c:pt>
                <c:pt idx="30">
                  <c:v>11851.5</c:v>
                </c:pt>
                <c:pt idx="31">
                  <c:v>13228</c:v>
                </c:pt>
                <c:pt idx="32">
                  <c:v>14171</c:v>
                </c:pt>
                <c:pt idx="33">
                  <c:v>14233</c:v>
                </c:pt>
                <c:pt idx="34">
                  <c:v>15535</c:v>
                </c:pt>
                <c:pt idx="35">
                  <c:v>15853.5</c:v>
                </c:pt>
                <c:pt idx="36">
                  <c:v>15858</c:v>
                </c:pt>
                <c:pt idx="37">
                  <c:v>16111</c:v>
                </c:pt>
                <c:pt idx="38">
                  <c:v>16770.5</c:v>
                </c:pt>
                <c:pt idx="39">
                  <c:v>17048.5</c:v>
                </c:pt>
                <c:pt idx="40">
                  <c:v>17398.5</c:v>
                </c:pt>
                <c:pt idx="41">
                  <c:v>18445</c:v>
                </c:pt>
                <c:pt idx="42">
                  <c:v>18444</c:v>
                </c:pt>
                <c:pt idx="43">
                  <c:v>19054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-7.0876528272509218E-2</c:v>
                </c:pt>
                <c:pt idx="1">
                  <c:v>-5.8403322890357698E-2</c:v>
                </c:pt>
                <c:pt idx="2">
                  <c:v>-5.7111084992040609E-2</c:v>
                </c:pt>
                <c:pt idx="3">
                  <c:v>-5.6627359575558284E-2</c:v>
                </c:pt>
                <c:pt idx="4">
                  <c:v>-5.3987600874183278E-2</c:v>
                </c:pt>
                <c:pt idx="5">
                  <c:v>-5.3317295654200625E-2</c:v>
                </c:pt>
                <c:pt idx="6">
                  <c:v>-5.2211637559383864E-2</c:v>
                </c:pt>
                <c:pt idx="7">
                  <c:v>-4.3096868640238248E-2</c:v>
                </c:pt>
                <c:pt idx="8">
                  <c:v>-3.8384001011081831E-2</c:v>
                </c:pt>
                <c:pt idx="9">
                  <c:v>-2.07625751249398E-2</c:v>
                </c:pt>
                <c:pt idx="10">
                  <c:v>-1.6284659840931942E-2</c:v>
                </c:pt>
                <c:pt idx="11">
                  <c:v>1.8958191931352113E-2</c:v>
                </c:pt>
                <c:pt idx="12">
                  <c:v>1.9441917347834445E-2</c:v>
                </c:pt>
                <c:pt idx="13">
                  <c:v>1.9455738074019652E-2</c:v>
                </c:pt>
                <c:pt idx="14">
                  <c:v>5.135397410948303E-2</c:v>
                </c:pt>
                <c:pt idx="15">
                  <c:v>1.9690690419168218E-2</c:v>
                </c:pt>
                <c:pt idx="16">
                  <c:v>5.132633265711261E-2</c:v>
                </c:pt>
                <c:pt idx="17">
                  <c:v>5.135397410948303E-2</c:v>
                </c:pt>
                <c:pt idx="18">
                  <c:v>5.1388525924946055E-2</c:v>
                </c:pt>
                <c:pt idx="19">
                  <c:v>5.1575105728446383E-2</c:v>
                </c:pt>
                <c:pt idx="20">
                  <c:v>5.1637298996279821E-2</c:v>
                </c:pt>
                <c:pt idx="21">
                  <c:v>5.1823878799780149E-2</c:v>
                </c:pt>
                <c:pt idx="22">
                  <c:v>5.2134845138947367E-2</c:v>
                </c:pt>
                <c:pt idx="23">
                  <c:v>5.2148665865132574E-2</c:v>
                </c:pt>
                <c:pt idx="24">
                  <c:v>5.216248659131778E-2</c:v>
                </c:pt>
                <c:pt idx="25">
                  <c:v>5.2494184019762809E-2</c:v>
                </c:pt>
                <c:pt idx="26">
                  <c:v>5.2508004745948016E-2</c:v>
                </c:pt>
                <c:pt idx="27">
                  <c:v>5.283279181130044E-2</c:v>
                </c:pt>
                <c:pt idx="28">
                  <c:v>0.21477715088649199</c:v>
                </c:pt>
                <c:pt idx="29">
                  <c:v>0.21508811722565921</c:v>
                </c:pt>
                <c:pt idx="30">
                  <c:v>0.21515031049349265</c:v>
                </c:pt>
                <c:pt idx="31">
                  <c:v>0.23417454008743344</c:v>
                </c:pt>
                <c:pt idx="32">
                  <c:v>0.24720748488008593</c:v>
                </c:pt>
                <c:pt idx="33">
                  <c:v>0.24806436990356892</c:v>
                </c:pt>
                <c:pt idx="34">
                  <c:v>0.26605895539671159</c:v>
                </c:pt>
                <c:pt idx="35">
                  <c:v>0.27046085668670083</c:v>
                </c:pt>
                <c:pt idx="36">
                  <c:v>0.27052304995453424</c:v>
                </c:pt>
                <c:pt idx="37">
                  <c:v>0.27401969367939227</c:v>
                </c:pt>
                <c:pt idx="38">
                  <c:v>0.28313446259853786</c:v>
                </c:pt>
                <c:pt idx="39">
                  <c:v>0.28697662447802608</c:v>
                </c:pt>
                <c:pt idx="40">
                  <c:v>0.29181387864284936</c:v>
                </c:pt>
                <c:pt idx="41">
                  <c:v>0.30627726859567106</c:v>
                </c:pt>
                <c:pt idx="42">
                  <c:v>0.30626344786948589</c:v>
                </c:pt>
                <c:pt idx="43">
                  <c:v>0.31469409084246358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C5-449A-BF1D-DCDFEF498A0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-9000</c:v>
                </c:pt>
                <c:pt idx="1">
                  <c:v>-8000</c:v>
                </c:pt>
                <c:pt idx="2">
                  <c:v>-7000</c:v>
                </c:pt>
                <c:pt idx="3">
                  <c:v>-6000</c:v>
                </c:pt>
                <c:pt idx="4">
                  <c:v>-5000</c:v>
                </c:pt>
                <c:pt idx="5">
                  <c:v>-4000</c:v>
                </c:pt>
                <c:pt idx="6">
                  <c:v>-3000</c:v>
                </c:pt>
                <c:pt idx="7">
                  <c:v>-2000</c:v>
                </c:pt>
                <c:pt idx="8">
                  <c:v>-1000</c:v>
                </c:pt>
                <c:pt idx="9">
                  <c:v>0</c:v>
                </c:pt>
                <c:pt idx="10">
                  <c:v>1000</c:v>
                </c:pt>
                <c:pt idx="11">
                  <c:v>2000</c:v>
                </c:pt>
                <c:pt idx="12">
                  <c:v>3000</c:v>
                </c:pt>
                <c:pt idx="13">
                  <c:v>4000</c:v>
                </c:pt>
                <c:pt idx="14">
                  <c:v>5000</c:v>
                </c:pt>
                <c:pt idx="15">
                  <c:v>6000</c:v>
                </c:pt>
                <c:pt idx="16">
                  <c:v>7000</c:v>
                </c:pt>
                <c:pt idx="17">
                  <c:v>8000</c:v>
                </c:pt>
                <c:pt idx="18">
                  <c:v>9000</c:v>
                </c:pt>
                <c:pt idx="19">
                  <c:v>10000</c:v>
                </c:pt>
                <c:pt idx="20">
                  <c:v>11000</c:v>
                </c:pt>
                <c:pt idx="21">
                  <c:v>12000</c:v>
                </c:pt>
                <c:pt idx="22">
                  <c:v>13000</c:v>
                </c:pt>
                <c:pt idx="23">
                  <c:v>14000</c:v>
                </c:pt>
                <c:pt idx="24">
                  <c:v>15000</c:v>
                </c:pt>
                <c:pt idx="25">
                  <c:v>16000</c:v>
                </c:pt>
                <c:pt idx="26">
                  <c:v>17000</c:v>
                </c:pt>
                <c:pt idx="27">
                  <c:v>18000</c:v>
                </c:pt>
                <c:pt idx="28">
                  <c:v>19000</c:v>
                </c:pt>
                <c:pt idx="29">
                  <c:v>20000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-2.0050119282200768E-2</c:v>
                </c:pt>
                <c:pt idx="1">
                  <c:v>-1.8713900834146747E-2</c:v>
                </c:pt>
                <c:pt idx="2">
                  <c:v>-1.6469582148567502E-2</c:v>
                </c:pt>
                <c:pt idx="3">
                  <c:v>-1.331716322546302E-2</c:v>
                </c:pt>
                <c:pt idx="4">
                  <c:v>-9.2566440648333224E-3</c:v>
                </c:pt>
                <c:pt idx="5">
                  <c:v>-4.2880246666783918E-3</c:v>
                </c:pt>
                <c:pt idx="6">
                  <c:v>1.5886949690017624E-3</c:v>
                </c:pt>
                <c:pt idx="7">
                  <c:v>8.3735148422071394E-3</c:v>
                </c:pt>
                <c:pt idx="8">
                  <c:v>1.6066434952937744E-2</c:v>
                </c:pt>
                <c:pt idx="9">
                  <c:v>2.4667455301193571E-2</c:v>
                </c:pt>
                <c:pt idx="10">
                  <c:v>3.4176575886974626E-2</c:v>
                </c:pt>
                <c:pt idx="11">
                  <c:v>4.4593796710280902E-2</c:v>
                </c:pt>
                <c:pt idx="12">
                  <c:v>5.5919117771112414E-2</c:v>
                </c:pt>
                <c:pt idx="13">
                  <c:v>6.8152539069469137E-2</c:v>
                </c:pt>
                <c:pt idx="14">
                  <c:v>8.1294060605351104E-2</c:v>
                </c:pt>
                <c:pt idx="15">
                  <c:v>9.5343682378758274E-2</c:v>
                </c:pt>
                <c:pt idx="16">
                  <c:v>0.11030140438969069</c:v>
                </c:pt>
                <c:pt idx="17">
                  <c:v>0.12616722663814831</c:v>
                </c:pt>
                <c:pt idx="18">
                  <c:v>0.14294114912413117</c:v>
                </c:pt>
                <c:pt idx="19">
                  <c:v>0.16062317184763925</c:v>
                </c:pt>
                <c:pt idx="20">
                  <c:v>0.17921329480867254</c:v>
                </c:pt>
                <c:pt idx="21">
                  <c:v>0.19871151800723108</c:v>
                </c:pt>
                <c:pt idx="22">
                  <c:v>0.21911784144331486</c:v>
                </c:pt>
                <c:pt idx="23">
                  <c:v>0.24043226511692384</c:v>
                </c:pt>
                <c:pt idx="24">
                  <c:v>0.26265478902805806</c:v>
                </c:pt>
                <c:pt idx="25">
                  <c:v>0.28578541317671746</c:v>
                </c:pt>
                <c:pt idx="26">
                  <c:v>0.30982413756290217</c:v>
                </c:pt>
                <c:pt idx="27">
                  <c:v>0.33477096218661201</c:v>
                </c:pt>
                <c:pt idx="28">
                  <c:v>0.36062588704784715</c:v>
                </c:pt>
                <c:pt idx="29">
                  <c:v>0.38738891214660742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C5-449A-BF1D-DCDFEF498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48344"/>
        <c:axId val="1"/>
      </c:scatterChart>
      <c:valAx>
        <c:axId val="69714834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4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121498449057504"/>
          <c:w val="0.7528278189782011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EC95174-3E56-F3C1-B17B-835AB4E57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90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9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4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90" TargetMode="External"/><Relationship Id="rId9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60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85546875" customWidth="1"/>
    <col min="3" max="3" width="11.85546875" customWidth="1"/>
    <col min="4" max="4" width="9.42578125" customWidth="1"/>
    <col min="5" max="5" width="10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5.140625" customWidth="1"/>
  </cols>
  <sheetData>
    <row r="1" spans="1:23" ht="21" thickBot="1" x14ac:dyDescent="0.35">
      <c r="A1" s="1" t="s">
        <v>32</v>
      </c>
      <c r="C1" s="14" t="s">
        <v>33</v>
      </c>
      <c r="V1" s="5" t="s">
        <v>11</v>
      </c>
      <c r="W1" s="7" t="s">
        <v>23</v>
      </c>
    </row>
    <row r="2" spans="1:23" x14ac:dyDescent="0.2">
      <c r="A2" t="s">
        <v>25</v>
      </c>
      <c r="B2" t="s">
        <v>26</v>
      </c>
      <c r="V2" s="57">
        <v>-9000</v>
      </c>
      <c r="W2" s="57">
        <f t="shared" ref="W2:W31" si="0">+D$11+D$12*V2+D$13*V2^2</f>
        <v>-2.0050119282200768E-2</v>
      </c>
    </row>
    <row r="3" spans="1:23" ht="13.5" thickBot="1" x14ac:dyDescent="0.25">
      <c r="V3" s="57">
        <v>-8000</v>
      </c>
      <c r="W3" s="57">
        <f t="shared" si="0"/>
        <v>-1.8713900834146747E-2</v>
      </c>
    </row>
    <row r="4" spans="1:23" ht="14.25" thickTop="1" thickBot="1" x14ac:dyDescent="0.25">
      <c r="A4" s="6" t="s">
        <v>1</v>
      </c>
      <c r="C4" s="3">
        <v>36757.605000000003</v>
      </c>
      <c r="D4" s="4">
        <v>1.1113919999999999</v>
      </c>
      <c r="V4" s="57">
        <v>-7000</v>
      </c>
      <c r="W4" s="57">
        <f t="shared" si="0"/>
        <v>-1.6469582148567502E-2</v>
      </c>
    </row>
    <row r="5" spans="1:23" ht="13.5" thickTop="1" x14ac:dyDescent="0.2">
      <c r="A5" s="20" t="s">
        <v>35</v>
      </c>
      <c r="B5" s="21"/>
      <c r="C5" s="22">
        <v>-9.5</v>
      </c>
      <c r="D5" s="21" t="s">
        <v>36</v>
      </c>
      <c r="V5" s="57">
        <v>-6000</v>
      </c>
      <c r="W5" s="57">
        <f t="shared" si="0"/>
        <v>-1.331716322546302E-2</v>
      </c>
    </row>
    <row r="6" spans="1:23" x14ac:dyDescent="0.2">
      <c r="A6" s="6" t="s">
        <v>2</v>
      </c>
      <c r="V6" s="57">
        <v>-5000</v>
      </c>
      <c r="W6" s="57">
        <f t="shared" si="0"/>
        <v>-9.2566440648333224E-3</v>
      </c>
    </row>
    <row r="7" spans="1:23" x14ac:dyDescent="0.2">
      <c r="A7" t="s">
        <v>3</v>
      </c>
      <c r="C7">
        <f>+C4</f>
        <v>36757.605000000003</v>
      </c>
      <c r="V7" s="57">
        <v>-4000</v>
      </c>
      <c r="W7" s="57">
        <f t="shared" si="0"/>
        <v>-4.2880246666783918E-3</v>
      </c>
    </row>
    <row r="8" spans="1:23" x14ac:dyDescent="0.2">
      <c r="A8" t="s">
        <v>4</v>
      </c>
      <c r="C8">
        <f>+D4</f>
        <v>1.1113919999999999</v>
      </c>
      <c r="V8" s="57">
        <v>-3000</v>
      </c>
      <c r="W8" s="57">
        <f t="shared" si="0"/>
        <v>1.5886949690017624E-3</v>
      </c>
    </row>
    <row r="9" spans="1:23" x14ac:dyDescent="0.2">
      <c r="A9" s="35" t="s">
        <v>41</v>
      </c>
      <c r="B9" s="36">
        <v>21</v>
      </c>
      <c r="C9" s="25" t="str">
        <f>"F"&amp;B9</f>
        <v>F21</v>
      </c>
      <c r="D9" s="12" t="str">
        <f>"G"&amp;B9</f>
        <v>G21</v>
      </c>
      <c r="V9" s="57">
        <v>-2000</v>
      </c>
      <c r="W9" s="57">
        <f t="shared" si="0"/>
        <v>8.3735148422071394E-3</v>
      </c>
    </row>
    <row r="10" spans="1:23" ht="13.5" thickBot="1" x14ac:dyDescent="0.25">
      <c r="A10" s="21"/>
      <c r="B10" s="21"/>
      <c r="C10" s="5" t="s">
        <v>21</v>
      </c>
      <c r="D10" s="5" t="s">
        <v>22</v>
      </c>
      <c r="E10" s="21"/>
      <c r="V10" s="57">
        <v>-1000</v>
      </c>
      <c r="W10" s="57">
        <f t="shared" si="0"/>
        <v>1.6066434952937744E-2</v>
      </c>
    </row>
    <row r="11" spans="1:23" x14ac:dyDescent="0.2">
      <c r="A11" s="21" t="s">
        <v>17</v>
      </c>
      <c r="B11" s="21"/>
      <c r="C11" s="23">
        <f ca="1">INTERCEPT(INDIRECT($D$9):G992,INDIRECT($C$9):F992)</f>
        <v>5.135397410948303E-2</v>
      </c>
      <c r="D11" s="24">
        <f>+E11*F11</f>
        <v>2.4667455301193571E-2</v>
      </c>
      <c r="E11" s="51">
        <v>2.4667455301193571E-2</v>
      </c>
      <c r="F11">
        <v>1</v>
      </c>
      <c r="V11" s="57">
        <v>0</v>
      </c>
      <c r="W11" s="57">
        <f t="shared" si="0"/>
        <v>2.4667455301193571E-2</v>
      </c>
    </row>
    <row r="12" spans="1:23" x14ac:dyDescent="0.2">
      <c r="A12" s="21" t="s">
        <v>18</v>
      </c>
      <c r="B12" s="21"/>
      <c r="C12" s="23">
        <f ca="1">SLOPE(INDIRECT($D$9):G992,INDIRECT($C$9):F992)</f>
        <v>1.3820726185209435E-5</v>
      </c>
      <c r="D12" s="24">
        <f>+E12*F12</f>
        <v>9.0550704670184412E-6</v>
      </c>
      <c r="E12" s="52">
        <v>9.0550704670184404E-2</v>
      </c>
      <c r="F12" s="53">
        <v>1E-4</v>
      </c>
      <c r="V12" s="57">
        <v>1000</v>
      </c>
      <c r="W12" s="57">
        <f t="shared" si="0"/>
        <v>3.4176575886974626E-2</v>
      </c>
    </row>
    <row r="13" spans="1:23" ht="13.5" thickBot="1" x14ac:dyDescent="0.25">
      <c r="A13" s="21" t="s">
        <v>20</v>
      </c>
      <c r="B13" s="21"/>
      <c r="C13" s="24" t="s">
        <v>15</v>
      </c>
      <c r="D13" s="24">
        <f>+E13*F13</f>
        <v>4.5405011876261263E-10</v>
      </c>
      <c r="E13" s="54">
        <v>4.540501187626126E-2</v>
      </c>
      <c r="F13" s="53">
        <v>1E-8</v>
      </c>
      <c r="V13" s="57">
        <v>2000</v>
      </c>
      <c r="W13" s="57">
        <f t="shared" si="0"/>
        <v>4.4593796710280902E-2</v>
      </c>
    </row>
    <row r="14" spans="1:23" x14ac:dyDescent="0.2">
      <c r="A14" s="21"/>
      <c r="B14" s="21"/>
      <c r="C14" s="21"/>
      <c r="E14">
        <f>SUM(T21:T950)</f>
        <v>4.9384822402379442E-3</v>
      </c>
      <c r="V14" s="57">
        <v>3000</v>
      </c>
      <c r="W14" s="57">
        <f t="shared" si="0"/>
        <v>5.5919117771112414E-2</v>
      </c>
    </row>
    <row r="15" spans="1:23" x14ac:dyDescent="0.2">
      <c r="A15" s="26" t="s">
        <v>19</v>
      </c>
      <c r="B15" s="21"/>
      <c r="C15" s="27">
        <f ca="1">(C7+C11)+(C8+C12)*INT(MAX(F21:F3533))</f>
        <v>57934.382862090846</v>
      </c>
      <c r="D15" s="12">
        <f>+C7+INT(MAX(F21:F1588))*C8+D11+D12*INT(MAX(F21:F4023))+D13*INT(MAX(F21:F4050)^2)</f>
        <v>57934.430215895707</v>
      </c>
      <c r="E15" s="28" t="s">
        <v>44</v>
      </c>
      <c r="F15" s="22">
        <v>1</v>
      </c>
      <c r="V15" s="57">
        <v>4000</v>
      </c>
      <c r="W15" s="57">
        <f t="shared" si="0"/>
        <v>6.8152539069469137E-2</v>
      </c>
    </row>
    <row r="16" spans="1:23" x14ac:dyDescent="0.2">
      <c r="A16" s="30" t="s">
        <v>5</v>
      </c>
      <c r="B16" s="21"/>
      <c r="C16" s="31">
        <f ca="1">+C8+C12</f>
        <v>1.1114058207261852</v>
      </c>
      <c r="D16" s="12">
        <f>+C8+D12+2*D13*MAX(F21:F896)</f>
        <v>1.1114183580123926</v>
      </c>
      <c r="E16" s="28" t="s">
        <v>37</v>
      </c>
      <c r="F16" s="29">
        <f ca="1">NOW()+15018.5+$C$5/24</f>
        <v>60320.731781134258</v>
      </c>
      <c r="V16" s="57">
        <v>5000</v>
      </c>
      <c r="W16" s="57">
        <f t="shared" si="0"/>
        <v>8.1294060605351104E-2</v>
      </c>
    </row>
    <row r="17" spans="1:23" ht="13.5" thickBot="1" x14ac:dyDescent="0.25">
      <c r="A17" s="28" t="s">
        <v>31</v>
      </c>
      <c r="B17" s="21"/>
      <c r="C17" s="21">
        <f>COUNT(C21:C2191)</f>
        <v>44</v>
      </c>
      <c r="E17" s="28" t="s">
        <v>45</v>
      </c>
      <c r="F17" s="29">
        <f ca="1">ROUND(2*(F16-$C$7)/$C$8,0)/2+F15</f>
        <v>21202.5</v>
      </c>
      <c r="V17" s="57">
        <v>6000</v>
      </c>
      <c r="W17" s="57">
        <f t="shared" si="0"/>
        <v>9.5343682378758274E-2</v>
      </c>
    </row>
    <row r="18" spans="1:23" ht="14.25" thickTop="1" thickBot="1" x14ac:dyDescent="0.25">
      <c r="A18" s="30" t="s">
        <v>6</v>
      </c>
      <c r="B18" s="21"/>
      <c r="C18" s="33">
        <f ca="1">+C15</f>
        <v>57934.382862090846</v>
      </c>
      <c r="D18" s="34">
        <f ca="1">+C16</f>
        <v>1.1114058207261852</v>
      </c>
      <c r="E18" s="28" t="s">
        <v>38</v>
      </c>
      <c r="F18" s="12">
        <f ca="1">ROUND(2*(F16-$C$15)/$C$16,0)/2+F15</f>
        <v>2148</v>
      </c>
      <c r="V18" s="57">
        <v>7000</v>
      </c>
      <c r="W18" s="57">
        <f t="shared" si="0"/>
        <v>0.11030140438969069</v>
      </c>
    </row>
    <row r="19" spans="1:23" ht="14.25" thickTop="1" thickBot="1" x14ac:dyDescent="0.25">
      <c r="A19" s="6" t="s">
        <v>208</v>
      </c>
      <c r="C19" s="55">
        <f>+D15</f>
        <v>57934.430215895707</v>
      </c>
      <c r="D19" s="56">
        <f>+D16</f>
        <v>1.1114183580123926</v>
      </c>
      <c r="E19" s="28" t="s">
        <v>39</v>
      </c>
      <c r="F19" s="32">
        <f ca="1">+$C$15+$C$16*F18-15018.5-$C$5/24</f>
        <v>45303.578398344027</v>
      </c>
      <c r="V19" s="57">
        <v>8000</v>
      </c>
      <c r="W19" s="57">
        <f t="shared" si="0"/>
        <v>0.12616722663814831</v>
      </c>
    </row>
    <row r="20" spans="1:23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54</v>
      </c>
      <c r="I20" s="8" t="s">
        <v>57</v>
      </c>
      <c r="J20" s="8" t="s">
        <v>51</v>
      </c>
      <c r="K20" s="8" t="s">
        <v>49</v>
      </c>
      <c r="L20" s="8" t="s">
        <v>205</v>
      </c>
      <c r="M20" s="8" t="s">
        <v>206</v>
      </c>
      <c r="N20" s="8" t="s">
        <v>207</v>
      </c>
      <c r="O20" s="8" t="s">
        <v>24</v>
      </c>
      <c r="P20" s="58" t="s">
        <v>23</v>
      </c>
      <c r="Q20" s="5" t="s">
        <v>16</v>
      </c>
      <c r="R20" s="59" t="s">
        <v>209</v>
      </c>
      <c r="S20" s="7" t="s">
        <v>210</v>
      </c>
      <c r="T20" s="59" t="s">
        <v>211</v>
      </c>
      <c r="U20" s="60" t="s">
        <v>212</v>
      </c>
      <c r="V20" s="57">
        <v>9000</v>
      </c>
      <c r="W20" s="57">
        <f t="shared" si="0"/>
        <v>0.14294114912413117</v>
      </c>
    </row>
    <row r="21" spans="1:23" x14ac:dyDescent="0.2">
      <c r="A21" t="s">
        <v>63</v>
      </c>
      <c r="B21" t="s">
        <v>30</v>
      </c>
      <c r="C21" s="13">
        <v>26928.417000000001</v>
      </c>
      <c r="D21" s="13" t="s">
        <v>57</v>
      </c>
      <c r="E21">
        <f t="shared" ref="E21:E61" si="1">+(C21-C$7)/C$8</f>
        <v>-8844.0334283493157</v>
      </c>
      <c r="F21">
        <f t="shared" ref="F21:F55" si="2">ROUND(2*E21,0)/2</f>
        <v>-8844</v>
      </c>
      <c r="G21">
        <f t="shared" ref="G21:G34" si="3">+C21-(C$7+F21*C$8)</f>
        <v>-3.7152000004425645E-2</v>
      </c>
      <c r="I21">
        <f t="shared" ref="I21:I34" si="4">+G21</f>
        <v>-3.7152000004425645E-2</v>
      </c>
      <c r="O21">
        <f t="shared" ref="O21:O61" ca="1" si="5">+C$11+C$12*$F21</f>
        <v>-7.0876528272509218E-2</v>
      </c>
      <c r="P21" s="61">
        <f>+D$11+D$12*F21+D$13*F21^2</f>
        <v>-1.9901451259141105E-2</v>
      </c>
      <c r="Q21" s="62">
        <f t="shared" ref="Q21:Q61" si="6">+C21-15018.5</f>
        <v>11909.917000000001</v>
      </c>
      <c r="R21" s="57">
        <f>+(P21-G21)^2</f>
        <v>2.9758143201343804E-4</v>
      </c>
      <c r="S21" s="64">
        <v>0.1</v>
      </c>
      <c r="T21" s="57">
        <f>+S21*R21</f>
        <v>2.9758143201343804E-5</v>
      </c>
      <c r="U21" s="63"/>
      <c r="V21" s="57">
        <v>10000</v>
      </c>
      <c r="W21" s="57">
        <f t="shared" si="0"/>
        <v>0.16062317184763925</v>
      </c>
    </row>
    <row r="22" spans="1:23" x14ac:dyDescent="0.2">
      <c r="A22" t="s">
        <v>63</v>
      </c>
      <c r="B22" t="s">
        <v>28</v>
      </c>
      <c r="C22" s="13">
        <v>27931.528999999999</v>
      </c>
      <c r="D22" s="13" t="s">
        <v>57</v>
      </c>
      <c r="E22">
        <f t="shared" si="1"/>
        <v>-7941.4607987100908</v>
      </c>
      <c r="F22">
        <f t="shared" si="2"/>
        <v>-7941.5</v>
      </c>
      <c r="G22">
        <f t="shared" si="3"/>
        <v>4.3567999997321749E-2</v>
      </c>
      <c r="I22">
        <f t="shared" si="4"/>
        <v>4.3567999997321749E-2</v>
      </c>
      <c r="O22">
        <f t="shared" ca="1" si="5"/>
        <v>-5.8403322890357698E-2</v>
      </c>
      <c r="P22" s="61">
        <f t="shared" ref="P22:P61" si="7">+D$11+D$12*F22+D$13*F22^2</f>
        <v>-1.8607616249969039E-2</v>
      </c>
      <c r="Q22" s="2">
        <f t="shared" si="6"/>
        <v>12913.028999999999</v>
      </c>
      <c r="R22" s="57">
        <f t="shared" ref="R22:R61" si="8">+(P22-G22)^2</f>
        <v>3.8658072557303702E-3</v>
      </c>
      <c r="S22" s="64">
        <v>0.1</v>
      </c>
      <c r="T22" s="57">
        <f t="shared" ref="T22:T61" si="9">+S22*R22</f>
        <v>3.8658072557303707E-4</v>
      </c>
      <c r="V22" s="57">
        <v>11000</v>
      </c>
      <c r="W22" s="57">
        <f t="shared" si="0"/>
        <v>0.17921329480867254</v>
      </c>
    </row>
    <row r="23" spans="1:23" x14ac:dyDescent="0.2">
      <c r="A23" t="s">
        <v>63</v>
      </c>
      <c r="B23" t="s">
        <v>30</v>
      </c>
      <c r="C23" s="13">
        <v>28035.416000000001</v>
      </c>
      <c r="D23" s="13" t="s">
        <v>57</v>
      </c>
      <c r="E23">
        <f t="shared" si="1"/>
        <v>-7847.9861291065645</v>
      </c>
      <c r="F23">
        <f t="shared" si="2"/>
        <v>-7848</v>
      </c>
      <c r="G23">
        <f t="shared" si="3"/>
        <v>1.5415999998367624E-2</v>
      </c>
      <c r="I23">
        <f t="shared" si="4"/>
        <v>1.5415999998367624E-2</v>
      </c>
      <c r="O23">
        <f t="shared" ca="1" si="5"/>
        <v>-5.7111084992040609E-2</v>
      </c>
      <c r="P23" s="61">
        <f t="shared" si="7"/>
        <v>-1.8431289638046734E-2</v>
      </c>
      <c r="Q23" s="2">
        <f t="shared" si="6"/>
        <v>13016.916000000001</v>
      </c>
      <c r="R23" s="57">
        <f t="shared" si="8"/>
        <v>1.1456390157313227E-3</v>
      </c>
      <c r="S23" s="64">
        <v>0.1</v>
      </c>
      <c r="T23" s="57">
        <f t="shared" si="9"/>
        <v>1.1456390157313227E-4</v>
      </c>
      <c r="V23" s="57">
        <v>12000</v>
      </c>
      <c r="W23" s="57">
        <f t="shared" si="0"/>
        <v>0.19871151800723108</v>
      </c>
    </row>
    <row r="24" spans="1:23" x14ac:dyDescent="0.2">
      <c r="A24" t="s">
        <v>63</v>
      </c>
      <c r="B24" t="s">
        <v>30</v>
      </c>
      <c r="C24" s="13">
        <v>28074.319</v>
      </c>
      <c r="D24" s="13" t="s">
        <v>57</v>
      </c>
      <c r="E24">
        <f t="shared" si="1"/>
        <v>-7812.9822780801051</v>
      </c>
      <c r="F24">
        <f t="shared" si="2"/>
        <v>-7813</v>
      </c>
      <c r="G24">
        <f t="shared" si="3"/>
        <v>1.9695999995747115E-2</v>
      </c>
      <c r="I24">
        <f t="shared" si="4"/>
        <v>1.9695999995747115E-2</v>
      </c>
      <c r="O24">
        <f t="shared" ca="1" si="5"/>
        <v>-5.6627359575558284E-2</v>
      </c>
      <c r="P24" s="61">
        <f t="shared" si="7"/>
        <v>-1.8363242933549025E-2</v>
      </c>
      <c r="Q24" s="2">
        <f t="shared" si="6"/>
        <v>13055.819</v>
      </c>
      <c r="R24" s="57">
        <f t="shared" si="8"/>
        <v>1.4485059723511782E-3</v>
      </c>
      <c r="S24" s="64">
        <v>0.1</v>
      </c>
      <c r="T24" s="57">
        <f t="shared" si="9"/>
        <v>1.4485059723511783E-4</v>
      </c>
      <c r="V24" s="57">
        <v>13000</v>
      </c>
      <c r="W24" s="57">
        <f t="shared" si="0"/>
        <v>0.21911784144331486</v>
      </c>
    </row>
    <row r="25" spans="1:23" x14ac:dyDescent="0.2">
      <c r="A25" t="s">
        <v>63</v>
      </c>
      <c r="B25" t="s">
        <v>30</v>
      </c>
      <c r="C25" s="13">
        <v>28286.58</v>
      </c>
      <c r="D25" s="13" t="s">
        <v>57</v>
      </c>
      <c r="E25">
        <f t="shared" si="1"/>
        <v>-7621.9956594972809</v>
      </c>
      <c r="F25">
        <f t="shared" si="2"/>
        <v>-7622</v>
      </c>
      <c r="G25">
        <f t="shared" si="3"/>
        <v>4.8239999960060231E-3</v>
      </c>
      <c r="I25">
        <f t="shared" si="4"/>
        <v>4.8239999960060231E-3</v>
      </c>
      <c r="O25">
        <f t="shared" ca="1" si="5"/>
        <v>-5.3987600874183278E-2</v>
      </c>
      <c r="P25" s="61">
        <f t="shared" si="7"/>
        <v>-1.7972302818720778E-2</v>
      </c>
      <c r="Q25" s="2">
        <f t="shared" si="6"/>
        <v>13268.080000000002</v>
      </c>
      <c r="R25" s="57">
        <f t="shared" si="8"/>
        <v>5.1967142202072108E-4</v>
      </c>
      <c r="S25" s="64">
        <v>0.1</v>
      </c>
      <c r="T25" s="57">
        <f t="shared" si="9"/>
        <v>5.1967142202072111E-5</v>
      </c>
      <c r="V25" s="57">
        <v>14000</v>
      </c>
      <c r="W25" s="57">
        <f t="shared" si="0"/>
        <v>0.24043226511692384</v>
      </c>
    </row>
    <row r="26" spans="1:23" x14ac:dyDescent="0.2">
      <c r="A26" t="s">
        <v>63</v>
      </c>
      <c r="B26" t="s">
        <v>28</v>
      </c>
      <c r="C26" s="13">
        <v>28340.473999999998</v>
      </c>
      <c r="D26" s="13" t="s">
        <v>57</v>
      </c>
      <c r="E26">
        <f t="shared" si="1"/>
        <v>-7573.5033183611231</v>
      </c>
      <c r="F26">
        <f t="shared" si="2"/>
        <v>-7573.5</v>
      </c>
      <c r="G26">
        <f t="shared" si="3"/>
        <v>-3.6880000079690944E-3</v>
      </c>
      <c r="I26">
        <f t="shared" si="4"/>
        <v>-3.6880000079690944E-3</v>
      </c>
      <c r="O26">
        <f t="shared" ca="1" si="5"/>
        <v>-5.3317295654200625E-2</v>
      </c>
      <c r="P26" s="61">
        <f t="shared" si="7"/>
        <v>-1.7867758552183768E-2</v>
      </c>
      <c r="Q26" s="2">
        <f t="shared" si="6"/>
        <v>13321.973999999998</v>
      </c>
      <c r="R26" s="57">
        <f t="shared" si="8"/>
        <v>2.0106555237222904E-4</v>
      </c>
      <c r="S26" s="64">
        <v>0.1</v>
      </c>
      <c r="T26" s="57">
        <f t="shared" si="9"/>
        <v>2.0106555237222905E-5</v>
      </c>
      <c r="V26" s="57">
        <v>15000</v>
      </c>
      <c r="W26" s="57">
        <f t="shared" si="0"/>
        <v>0.26265478902805806</v>
      </c>
    </row>
    <row r="27" spans="1:23" x14ac:dyDescent="0.2">
      <c r="A27" t="s">
        <v>63</v>
      </c>
      <c r="B27" t="s">
        <v>28</v>
      </c>
      <c r="C27" s="13">
        <v>28429.334999999999</v>
      </c>
      <c r="D27" s="13" t="s">
        <v>57</v>
      </c>
      <c r="E27">
        <f t="shared" si="1"/>
        <v>-7493.5486309061107</v>
      </c>
      <c r="F27">
        <f t="shared" si="2"/>
        <v>-7493.5</v>
      </c>
      <c r="G27">
        <f t="shared" si="3"/>
        <v>-5.4048000005423091E-2</v>
      </c>
      <c r="I27">
        <f t="shared" si="4"/>
        <v>-5.4048000005423091E-2</v>
      </c>
      <c r="O27">
        <f t="shared" ca="1" si="5"/>
        <v>-5.2211637559383864E-2</v>
      </c>
      <c r="P27" s="61">
        <f t="shared" si="7"/>
        <v>-1.769064676597399E-2</v>
      </c>
      <c r="Q27" s="2">
        <f t="shared" si="6"/>
        <v>13410.834999999999</v>
      </c>
      <c r="R27" s="57">
        <f t="shared" si="8"/>
        <v>1.3218571345780801E-3</v>
      </c>
      <c r="S27" s="64">
        <v>0.1</v>
      </c>
      <c r="T27" s="57">
        <f t="shared" si="9"/>
        <v>1.3218571345780802E-4</v>
      </c>
      <c r="V27" s="57">
        <v>16000</v>
      </c>
      <c r="W27" s="57">
        <f t="shared" si="0"/>
        <v>0.28578541317671746</v>
      </c>
    </row>
    <row r="28" spans="1:23" x14ac:dyDescent="0.2">
      <c r="A28" t="s">
        <v>63</v>
      </c>
      <c r="B28" t="s">
        <v>30</v>
      </c>
      <c r="C28" s="13">
        <v>29162.321</v>
      </c>
      <c r="D28" s="13" t="s">
        <v>57</v>
      </c>
      <c r="E28">
        <f t="shared" si="1"/>
        <v>-6834.027957732289</v>
      </c>
      <c r="F28">
        <f t="shared" si="2"/>
        <v>-6834</v>
      </c>
      <c r="G28">
        <f t="shared" si="3"/>
        <v>-3.1072000001586275E-2</v>
      </c>
      <c r="I28">
        <f t="shared" si="4"/>
        <v>-3.1072000001586275E-2</v>
      </c>
      <c r="O28">
        <f t="shared" ca="1" si="5"/>
        <v>-4.3096868640238248E-2</v>
      </c>
      <c r="P28" s="61">
        <f t="shared" si="7"/>
        <v>-1.6009141121974126E-2</v>
      </c>
      <c r="Q28" s="2">
        <f t="shared" si="6"/>
        <v>14143.821</v>
      </c>
      <c r="R28" s="57">
        <f t="shared" si="8"/>
        <v>2.2688971762711057E-4</v>
      </c>
      <c r="S28" s="64">
        <v>0.1</v>
      </c>
      <c r="T28" s="57">
        <f t="shared" si="9"/>
        <v>2.2688971762711058E-5</v>
      </c>
      <c r="V28" s="57">
        <v>17000</v>
      </c>
      <c r="W28" s="57">
        <f t="shared" si="0"/>
        <v>0.30982413756290217</v>
      </c>
    </row>
    <row r="29" spans="1:23" x14ac:dyDescent="0.2">
      <c r="A29" t="s">
        <v>63</v>
      </c>
      <c r="B29" t="s">
        <v>30</v>
      </c>
      <c r="C29" s="13">
        <v>29541.312999999998</v>
      </c>
      <c r="D29" s="13" t="s">
        <v>57</v>
      </c>
      <c r="E29">
        <f t="shared" si="1"/>
        <v>-6493.021364199135</v>
      </c>
      <c r="F29">
        <f t="shared" si="2"/>
        <v>-6493</v>
      </c>
      <c r="G29">
        <f t="shared" si="3"/>
        <v>-2.3744000005535781E-2</v>
      </c>
      <c r="I29">
        <f t="shared" si="4"/>
        <v>-2.3744000005535781E-2</v>
      </c>
      <c r="O29">
        <f t="shared" ca="1" si="5"/>
        <v>-3.8384001011081831E-2</v>
      </c>
      <c r="P29" s="61">
        <f t="shared" si="7"/>
        <v>-1.4984796035788357E-2</v>
      </c>
      <c r="Q29" s="2">
        <f t="shared" si="6"/>
        <v>14522.812999999998</v>
      </c>
      <c r="R29" s="57">
        <f t="shared" si="8"/>
        <v>7.6723654183639053E-5</v>
      </c>
      <c r="S29" s="64">
        <v>0.1</v>
      </c>
      <c r="T29" s="57">
        <f t="shared" si="9"/>
        <v>7.672365418363905E-6</v>
      </c>
      <c r="V29" s="57">
        <v>18000</v>
      </c>
      <c r="W29" s="57">
        <f t="shared" si="0"/>
        <v>0.33477096218661201</v>
      </c>
    </row>
    <row r="30" spans="1:23" x14ac:dyDescent="0.2">
      <c r="A30" t="s">
        <v>63</v>
      </c>
      <c r="B30" t="s">
        <v>30</v>
      </c>
      <c r="C30" s="13">
        <v>30958.382000000001</v>
      </c>
      <c r="D30" s="13" t="s">
        <v>57</v>
      </c>
      <c r="E30">
        <f t="shared" si="1"/>
        <v>-5217.9815942529749</v>
      </c>
      <c r="F30">
        <f t="shared" si="2"/>
        <v>-5218</v>
      </c>
      <c r="G30">
        <f t="shared" si="3"/>
        <v>2.0455999998375773E-2</v>
      </c>
      <c r="I30">
        <f t="shared" si="4"/>
        <v>2.0455999998375773E-2</v>
      </c>
      <c r="O30">
        <f t="shared" ca="1" si="5"/>
        <v>-2.07625751249398E-2</v>
      </c>
      <c r="P30" s="61">
        <f t="shared" si="7"/>
        <v>-1.0219241889896771E-2</v>
      </c>
      <c r="Q30" s="2">
        <f t="shared" si="6"/>
        <v>15939.882000000001</v>
      </c>
      <c r="R30" s="57">
        <f t="shared" si="8"/>
        <v>9.4097046490403059E-4</v>
      </c>
      <c r="S30" s="64">
        <v>0.1</v>
      </c>
      <c r="T30" s="57">
        <f t="shared" si="9"/>
        <v>9.409704649040307E-5</v>
      </c>
      <c r="V30" s="57">
        <v>19000</v>
      </c>
      <c r="W30" s="57">
        <f t="shared" si="0"/>
        <v>0.36062588704784715</v>
      </c>
    </row>
    <row r="31" spans="1:23" x14ac:dyDescent="0.2">
      <c r="A31" t="s">
        <v>63</v>
      </c>
      <c r="B31" t="s">
        <v>30</v>
      </c>
      <c r="C31" s="13">
        <v>31318.464</v>
      </c>
      <c r="D31" s="13" t="s">
        <v>57</v>
      </c>
      <c r="E31">
        <f t="shared" si="1"/>
        <v>-4893.9896994039937</v>
      </c>
      <c r="F31">
        <f t="shared" si="2"/>
        <v>-4894</v>
      </c>
      <c r="G31">
        <f t="shared" si="3"/>
        <v>1.1447999997471925E-2</v>
      </c>
      <c r="I31">
        <f t="shared" si="4"/>
        <v>1.1447999997471925E-2</v>
      </c>
      <c r="O31">
        <f t="shared" ca="1" si="5"/>
        <v>-1.6284659840931942E-2</v>
      </c>
      <c r="P31" s="61">
        <f t="shared" si="7"/>
        <v>-8.7729980140833202E-3</v>
      </c>
      <c r="Q31" s="2">
        <f t="shared" si="6"/>
        <v>16299.964</v>
      </c>
      <c r="R31" s="57">
        <f t="shared" si="8"/>
        <v>4.0888876058332125E-4</v>
      </c>
      <c r="S31" s="64">
        <v>0.1</v>
      </c>
      <c r="T31" s="57">
        <f t="shared" si="9"/>
        <v>4.0888876058332125E-5</v>
      </c>
      <c r="V31" s="57">
        <v>20000</v>
      </c>
      <c r="W31" s="57">
        <f t="shared" si="0"/>
        <v>0.38738891214660742</v>
      </c>
    </row>
    <row r="32" spans="1:23" x14ac:dyDescent="0.2">
      <c r="A32" t="s">
        <v>63</v>
      </c>
      <c r="B32" t="s">
        <v>30</v>
      </c>
      <c r="C32" s="13">
        <v>34152.523000000001</v>
      </c>
      <c r="D32" s="13" t="s">
        <v>57</v>
      </c>
      <c r="E32">
        <f t="shared" si="1"/>
        <v>-2343.9812415421402</v>
      </c>
      <c r="F32">
        <f t="shared" si="2"/>
        <v>-2344</v>
      </c>
      <c r="G32">
        <f t="shared" si="3"/>
        <v>2.0848000000114553E-2</v>
      </c>
      <c r="I32">
        <f t="shared" si="4"/>
        <v>2.0848000000114553E-2</v>
      </c>
      <c r="O32">
        <f t="shared" ca="1" si="5"/>
        <v>1.8958191931352113E-2</v>
      </c>
      <c r="P32" s="61">
        <f t="shared" si="7"/>
        <v>5.9370740398240413E-3</v>
      </c>
      <c r="Q32" s="2">
        <f t="shared" si="6"/>
        <v>19134.023000000001</v>
      </c>
      <c r="R32" s="57">
        <f t="shared" si="8"/>
        <v>2.2233571299326555E-4</v>
      </c>
      <c r="S32" s="64">
        <v>0.1</v>
      </c>
      <c r="T32" s="57">
        <f t="shared" si="9"/>
        <v>2.2233571299326557E-5</v>
      </c>
    </row>
    <row r="33" spans="1:20" x14ac:dyDescent="0.2">
      <c r="A33" t="s">
        <v>63</v>
      </c>
      <c r="B33" t="s">
        <v>30</v>
      </c>
      <c r="C33" s="13">
        <v>34191.447</v>
      </c>
      <c r="D33" s="13" t="s">
        <v>57</v>
      </c>
      <c r="E33">
        <f t="shared" si="1"/>
        <v>-2308.9584952923929</v>
      </c>
      <c r="F33">
        <f t="shared" si="2"/>
        <v>-2309</v>
      </c>
      <c r="G33">
        <f t="shared" si="3"/>
        <v>4.6127999994496349E-2</v>
      </c>
      <c r="I33">
        <f t="shared" si="4"/>
        <v>4.6127999994496349E-2</v>
      </c>
      <c r="O33">
        <f t="shared" ca="1" si="5"/>
        <v>1.9441917347834445E-2</v>
      </c>
      <c r="P33" s="61">
        <f t="shared" si="7"/>
        <v>6.180057174078604E-3</v>
      </c>
      <c r="Q33" s="2">
        <f t="shared" si="6"/>
        <v>19172.947</v>
      </c>
      <c r="R33" s="57">
        <f t="shared" si="8"/>
        <v>1.595838135583366E-3</v>
      </c>
      <c r="S33" s="64">
        <v>0.1</v>
      </c>
      <c r="T33" s="57">
        <f t="shared" si="9"/>
        <v>1.5958381355833662E-4</v>
      </c>
    </row>
    <row r="34" spans="1:20" x14ac:dyDescent="0.2">
      <c r="A34" t="s">
        <v>63</v>
      </c>
      <c r="B34" t="s">
        <v>30</v>
      </c>
      <c r="C34" s="13">
        <v>34192.491999999998</v>
      </c>
      <c r="D34" s="13" t="s">
        <v>57</v>
      </c>
      <c r="E34">
        <f t="shared" si="1"/>
        <v>-2308.0182329907043</v>
      </c>
      <c r="F34">
        <f t="shared" si="2"/>
        <v>-2308</v>
      </c>
      <c r="G34">
        <f t="shared" si="3"/>
        <v>-2.0264000006136484E-2</v>
      </c>
      <c r="I34">
        <f t="shared" si="4"/>
        <v>-2.0264000006136484E-2</v>
      </c>
      <c r="O34">
        <f t="shared" ca="1" si="5"/>
        <v>1.9455738074019652E-2</v>
      </c>
      <c r="P34" s="61">
        <f t="shared" si="7"/>
        <v>6.1870158951472954E-3</v>
      </c>
      <c r="Q34" s="2">
        <f t="shared" si="6"/>
        <v>19173.991999999998</v>
      </c>
      <c r="R34" s="57">
        <f t="shared" si="8"/>
        <v>6.9965624220996725E-4</v>
      </c>
      <c r="S34" s="64">
        <v>0.1</v>
      </c>
      <c r="T34" s="57">
        <f t="shared" si="9"/>
        <v>6.9965624220996722E-5</v>
      </c>
    </row>
    <row r="35" spans="1:20" x14ac:dyDescent="0.2">
      <c r="A35" t="s">
        <v>13</v>
      </c>
      <c r="C35" s="13">
        <v>36757.605000000003</v>
      </c>
      <c r="D35" s="13" t="s">
        <v>15</v>
      </c>
      <c r="E35">
        <f t="shared" si="1"/>
        <v>0</v>
      </c>
      <c r="F35">
        <f t="shared" si="2"/>
        <v>0</v>
      </c>
      <c r="H35" s="12">
        <v>0</v>
      </c>
      <c r="O35">
        <f t="shared" ca="1" si="5"/>
        <v>5.135397410948303E-2</v>
      </c>
      <c r="P35" s="61">
        <f t="shared" si="7"/>
        <v>2.4667455301193571E-2</v>
      </c>
      <c r="Q35" s="2">
        <f t="shared" si="6"/>
        <v>21739.105000000003</v>
      </c>
      <c r="R35" s="57">
        <f t="shared" si="8"/>
        <v>6.0848335103638285E-4</v>
      </c>
      <c r="S35" s="64">
        <v>0.2</v>
      </c>
      <c r="T35" s="57">
        <f t="shared" si="9"/>
        <v>1.2169667020727658E-4</v>
      </c>
    </row>
    <row r="36" spans="1:20" x14ac:dyDescent="0.2">
      <c r="A36" t="s">
        <v>63</v>
      </c>
      <c r="B36" t="s">
        <v>30</v>
      </c>
      <c r="C36" s="13">
        <v>34211.434000000001</v>
      </c>
      <c r="D36" s="13" t="s">
        <v>57</v>
      </c>
      <c r="E36">
        <f t="shared" si="1"/>
        <v>-2290.9747415853294</v>
      </c>
      <c r="F36">
        <f t="shared" si="2"/>
        <v>-2291</v>
      </c>
      <c r="G36">
        <f t="shared" ref="G36:G61" si="10">+C36-(C$7+F36*C$8)</f>
        <v>2.8072000000975095E-2</v>
      </c>
      <c r="I36">
        <f t="shared" ref="I36:I48" si="11">+G36</f>
        <v>2.8072000000975095E-2</v>
      </c>
      <c r="O36">
        <f t="shared" ca="1" si="5"/>
        <v>1.9690690419168218E-2</v>
      </c>
      <c r="P36" s="61">
        <f t="shared" si="7"/>
        <v>6.3054530926513926E-3</v>
      </c>
      <c r="Q36" s="2">
        <f t="shared" si="6"/>
        <v>19192.934000000001</v>
      </c>
      <c r="R36" s="57">
        <f t="shared" si="8"/>
        <v>4.7378256431225612E-4</v>
      </c>
      <c r="S36" s="64">
        <v>0.1</v>
      </c>
      <c r="T36" s="57">
        <f t="shared" si="9"/>
        <v>4.7378256431225612E-5</v>
      </c>
    </row>
    <row r="37" spans="1:20" x14ac:dyDescent="0.2">
      <c r="A37" t="s">
        <v>63</v>
      </c>
      <c r="B37" t="s">
        <v>30</v>
      </c>
      <c r="C37" s="13">
        <v>36755.379999999997</v>
      </c>
      <c r="D37" s="13" t="s">
        <v>57</v>
      </c>
      <c r="E37">
        <f t="shared" si="1"/>
        <v>-2.0019938959483432</v>
      </c>
      <c r="F37">
        <f t="shared" si="2"/>
        <v>-2</v>
      </c>
      <c r="G37">
        <f t="shared" si="10"/>
        <v>-2.2160000080475584E-3</v>
      </c>
      <c r="I37">
        <f t="shared" si="11"/>
        <v>-2.2160000080475584E-3</v>
      </c>
      <c r="O37">
        <f t="shared" ca="1" si="5"/>
        <v>5.132633265711261E-2</v>
      </c>
      <c r="P37" s="61">
        <f t="shared" si="7"/>
        <v>2.4649346976460009E-2</v>
      </c>
      <c r="Q37" s="2">
        <f t="shared" si="6"/>
        <v>21736.879999999997</v>
      </c>
      <c r="R37" s="57">
        <f t="shared" si="8"/>
        <v>7.2174686859798986E-4</v>
      </c>
      <c r="S37" s="64">
        <v>0.1</v>
      </c>
      <c r="T37" s="57">
        <f t="shared" si="9"/>
        <v>7.2174686859798995E-5</v>
      </c>
    </row>
    <row r="38" spans="1:20" x14ac:dyDescent="0.2">
      <c r="A38" t="s">
        <v>63</v>
      </c>
      <c r="B38" t="s">
        <v>30</v>
      </c>
      <c r="C38" s="13">
        <v>36757.616000000002</v>
      </c>
      <c r="D38" s="13" t="s">
        <v>57</v>
      </c>
      <c r="E38">
        <f t="shared" si="1"/>
        <v>9.8974979112707463E-3</v>
      </c>
      <c r="F38">
        <f t="shared" si="2"/>
        <v>0</v>
      </c>
      <c r="G38">
        <f t="shared" si="10"/>
        <v>1.0999999998603016E-2</v>
      </c>
      <c r="I38">
        <f t="shared" si="11"/>
        <v>1.0999999998603016E-2</v>
      </c>
      <c r="O38">
        <f t="shared" ca="1" si="5"/>
        <v>5.135397410948303E-2</v>
      </c>
      <c r="P38" s="61">
        <f t="shared" si="7"/>
        <v>2.4667455301193571E-2</v>
      </c>
      <c r="Q38" s="2">
        <f t="shared" si="6"/>
        <v>21739.116000000002</v>
      </c>
      <c r="R38" s="57">
        <f t="shared" si="8"/>
        <v>1.8679933444831068E-4</v>
      </c>
      <c r="S38" s="64">
        <v>0.1</v>
      </c>
      <c r="T38" s="57">
        <f t="shared" si="9"/>
        <v>1.8679933444831069E-5</v>
      </c>
    </row>
    <row r="39" spans="1:20" x14ac:dyDescent="0.2">
      <c r="A39" t="s">
        <v>63</v>
      </c>
      <c r="B39" t="s">
        <v>28</v>
      </c>
      <c r="C39" s="13">
        <v>36760.370000000003</v>
      </c>
      <c r="D39" s="13" t="s">
        <v>57</v>
      </c>
      <c r="E39">
        <f t="shared" si="1"/>
        <v>2.4878710661939425</v>
      </c>
      <c r="F39">
        <f t="shared" si="2"/>
        <v>2.5</v>
      </c>
      <c r="G39">
        <f t="shared" si="10"/>
        <v>-1.3480000001436565E-2</v>
      </c>
      <c r="I39">
        <f t="shared" si="11"/>
        <v>-1.3480000001436565E-2</v>
      </c>
      <c r="O39">
        <f t="shared" ca="1" si="5"/>
        <v>5.1388525924946055E-2</v>
      </c>
      <c r="P39" s="61">
        <f t="shared" si="7"/>
        <v>2.4690095815174357E-2</v>
      </c>
      <c r="Q39" s="2">
        <f t="shared" si="6"/>
        <v>21741.870000000003</v>
      </c>
      <c r="R39" s="57">
        <f t="shared" si="8"/>
        <v>1.4569562146492584E-3</v>
      </c>
      <c r="S39" s="64">
        <v>0.1</v>
      </c>
      <c r="T39" s="57">
        <f t="shared" si="9"/>
        <v>1.4569562146492585E-4</v>
      </c>
    </row>
    <row r="40" spans="1:20" x14ac:dyDescent="0.2">
      <c r="A40" t="s">
        <v>63</v>
      </c>
      <c r="B40" t="s">
        <v>30</v>
      </c>
      <c r="C40" s="13">
        <v>36775.39</v>
      </c>
      <c r="D40" s="13" t="s">
        <v>57</v>
      </c>
      <c r="E40">
        <f t="shared" si="1"/>
        <v>16.002454579478904</v>
      </c>
      <c r="F40">
        <f t="shared" si="2"/>
        <v>16</v>
      </c>
      <c r="G40">
        <f t="shared" si="10"/>
        <v>2.727999999478925E-3</v>
      </c>
      <c r="I40">
        <f t="shared" si="11"/>
        <v>2.727999999478925E-3</v>
      </c>
      <c r="O40">
        <f t="shared" ca="1" si="5"/>
        <v>5.1575105728446383E-2</v>
      </c>
      <c r="P40" s="61">
        <f t="shared" si="7"/>
        <v>2.4812452665496271E-2</v>
      </c>
      <c r="Q40" s="2">
        <f t="shared" si="6"/>
        <v>21756.89</v>
      </c>
      <c r="R40" s="57">
        <f t="shared" si="8"/>
        <v>4.8772304955756066E-4</v>
      </c>
      <c r="S40" s="64">
        <v>0.1</v>
      </c>
      <c r="T40" s="57">
        <f t="shared" si="9"/>
        <v>4.8772304955756068E-5</v>
      </c>
    </row>
    <row r="41" spans="1:20" x14ac:dyDescent="0.2">
      <c r="A41" t="s">
        <v>63</v>
      </c>
      <c r="B41" t="s">
        <v>28</v>
      </c>
      <c r="C41" s="13">
        <v>36780.379999999997</v>
      </c>
      <c r="D41" s="13" t="s">
        <v>57</v>
      </c>
      <c r="E41">
        <f t="shared" si="1"/>
        <v>20.492319541614641</v>
      </c>
      <c r="F41">
        <f t="shared" si="2"/>
        <v>20.5</v>
      </c>
      <c r="G41">
        <f t="shared" si="10"/>
        <v>-8.5360000084619969E-3</v>
      </c>
      <c r="I41">
        <f t="shared" si="11"/>
        <v>-8.5360000084619969E-3</v>
      </c>
      <c r="O41">
        <f t="shared" ca="1" si="5"/>
        <v>5.1637298996279821E-2</v>
      </c>
      <c r="P41" s="61">
        <f t="shared" si="7"/>
        <v>2.485327506032986E-2</v>
      </c>
      <c r="Q41" s="2">
        <f t="shared" si="6"/>
        <v>21761.879999999997</v>
      </c>
      <c r="R41" s="57">
        <f t="shared" si="8"/>
        <v>1.1148436896194454E-3</v>
      </c>
      <c r="S41" s="64">
        <v>0.1</v>
      </c>
      <c r="T41" s="57">
        <f t="shared" si="9"/>
        <v>1.1148436896194455E-4</v>
      </c>
    </row>
    <row r="42" spans="1:20" x14ac:dyDescent="0.2">
      <c r="A42" t="s">
        <v>63</v>
      </c>
      <c r="B42" t="s">
        <v>30</v>
      </c>
      <c r="C42" s="13">
        <v>36795.409</v>
      </c>
      <c r="D42" s="13" t="s">
        <v>57</v>
      </c>
      <c r="E42">
        <f t="shared" si="1"/>
        <v>34.01500100774205</v>
      </c>
      <c r="F42">
        <f t="shared" si="2"/>
        <v>34</v>
      </c>
      <c r="G42">
        <f t="shared" si="10"/>
        <v>1.6671999997925013E-2</v>
      </c>
      <c r="I42">
        <f t="shared" si="11"/>
        <v>1.6671999997925013E-2</v>
      </c>
      <c r="O42">
        <f t="shared" ca="1" si="5"/>
        <v>5.1823878799780149E-2</v>
      </c>
      <c r="P42" s="61">
        <f t="shared" si="7"/>
        <v>2.4975852579009486E-2</v>
      </c>
      <c r="Q42" s="2">
        <f t="shared" si="6"/>
        <v>21776.909</v>
      </c>
      <c r="R42" s="57">
        <f t="shared" si="8"/>
        <v>6.8953967688383257E-5</v>
      </c>
      <c r="S42" s="64">
        <v>0.1</v>
      </c>
      <c r="T42" s="57">
        <f t="shared" si="9"/>
        <v>6.8953967688383257E-6</v>
      </c>
    </row>
    <row r="43" spans="1:20" x14ac:dyDescent="0.2">
      <c r="A43" t="s">
        <v>63</v>
      </c>
      <c r="B43" t="s">
        <v>28</v>
      </c>
      <c r="C43" s="13">
        <v>36820.43</v>
      </c>
      <c r="D43" s="13" t="s">
        <v>57</v>
      </c>
      <c r="E43">
        <f t="shared" si="1"/>
        <v>56.528209668593163</v>
      </c>
      <c r="F43">
        <f t="shared" si="2"/>
        <v>56.5</v>
      </c>
      <c r="G43">
        <f t="shared" si="10"/>
        <v>3.1351999998150859E-2</v>
      </c>
      <c r="I43">
        <f t="shared" si="11"/>
        <v>3.1351999998150859E-2</v>
      </c>
      <c r="O43">
        <f t="shared" ca="1" si="5"/>
        <v>5.2134845138947367E-2</v>
      </c>
      <c r="P43" s="61">
        <f t="shared" si="7"/>
        <v>2.5180516224071733E-2</v>
      </c>
      <c r="Q43" s="2">
        <f t="shared" si="6"/>
        <v>21801.93</v>
      </c>
      <c r="R43" s="57">
        <f t="shared" si="8"/>
        <v>3.8087211973721931E-5</v>
      </c>
      <c r="S43" s="64">
        <v>0.1</v>
      </c>
      <c r="T43" s="57">
        <f t="shared" si="9"/>
        <v>3.8087211973721932E-6</v>
      </c>
    </row>
    <row r="44" spans="1:20" x14ac:dyDescent="0.2">
      <c r="A44" t="s">
        <v>63</v>
      </c>
      <c r="B44" t="s">
        <v>28</v>
      </c>
      <c r="C44" s="13">
        <v>36821.483999999997</v>
      </c>
      <c r="D44" s="13" t="s">
        <v>57</v>
      </c>
      <c r="E44">
        <f t="shared" si="1"/>
        <v>57.476569923117623</v>
      </c>
      <c r="F44">
        <f t="shared" si="2"/>
        <v>57.5</v>
      </c>
      <c r="G44">
        <f t="shared" si="10"/>
        <v>-2.6040000004286412E-2</v>
      </c>
      <c r="I44">
        <f t="shared" si="11"/>
        <v>-2.6040000004286412E-2</v>
      </c>
      <c r="O44">
        <f t="shared" ca="1" si="5"/>
        <v>5.2148665865132574E-2</v>
      </c>
      <c r="P44" s="61">
        <f t="shared" si="7"/>
        <v>2.5189623056252289E-2</v>
      </c>
      <c r="Q44" s="2">
        <f t="shared" si="6"/>
        <v>21802.983999999997</v>
      </c>
      <c r="R44" s="57">
        <f t="shared" si="8"/>
        <v>2.6244742789248788E-3</v>
      </c>
      <c r="S44" s="64">
        <v>0.1</v>
      </c>
      <c r="T44" s="57">
        <f t="shared" si="9"/>
        <v>2.624474278924879E-4</v>
      </c>
    </row>
    <row r="45" spans="1:20" x14ac:dyDescent="0.2">
      <c r="A45" t="s">
        <v>63</v>
      </c>
      <c r="B45" t="s">
        <v>28</v>
      </c>
      <c r="C45" s="13">
        <v>36822.61</v>
      </c>
      <c r="D45" s="13" t="s">
        <v>57</v>
      </c>
      <c r="E45">
        <f t="shared" si="1"/>
        <v>58.489713800348916</v>
      </c>
      <c r="F45">
        <f t="shared" si="2"/>
        <v>58.5</v>
      </c>
      <c r="G45">
        <f t="shared" si="10"/>
        <v>-1.143199999933131E-2</v>
      </c>
      <c r="I45">
        <f t="shared" si="11"/>
        <v>-1.143199999933131E-2</v>
      </c>
      <c r="O45">
        <f t="shared" ca="1" si="5"/>
        <v>5.216248659131778E-2</v>
      </c>
      <c r="P45" s="61">
        <f t="shared" si="7"/>
        <v>2.5198730796533085E-2</v>
      </c>
      <c r="Q45" s="2">
        <f t="shared" si="6"/>
        <v>21804.11</v>
      </c>
      <c r="R45" s="57">
        <f t="shared" si="8"/>
        <v>1.3418104386390883E-3</v>
      </c>
      <c r="S45" s="64">
        <v>0.1</v>
      </c>
      <c r="T45" s="57">
        <f t="shared" si="9"/>
        <v>1.3418104386390882E-4</v>
      </c>
    </row>
    <row r="46" spans="1:20" x14ac:dyDescent="0.2">
      <c r="A46" t="s">
        <v>63</v>
      </c>
      <c r="B46" t="s">
        <v>28</v>
      </c>
      <c r="C46" s="13">
        <v>36849.305999999997</v>
      </c>
      <c r="D46" s="13" t="s">
        <v>57</v>
      </c>
      <c r="E46">
        <f t="shared" si="1"/>
        <v>82.510041461512827</v>
      </c>
      <c r="F46">
        <f t="shared" si="2"/>
        <v>82.5</v>
      </c>
      <c r="G46">
        <f t="shared" si="10"/>
        <v>1.1159999994561076E-2</v>
      </c>
      <c r="I46">
        <f t="shared" si="11"/>
        <v>1.1159999994561076E-2</v>
      </c>
      <c r="O46">
        <f t="shared" ca="1" si="5"/>
        <v>5.2494184019762809E-2</v>
      </c>
      <c r="P46" s="61">
        <f t="shared" si="7"/>
        <v>2.5417588993343419E-2</v>
      </c>
      <c r="Q46" s="2">
        <f t="shared" si="6"/>
        <v>21830.805999999997</v>
      </c>
      <c r="R46" s="57">
        <f t="shared" si="8"/>
        <v>2.032788440581993E-4</v>
      </c>
      <c r="S46" s="64">
        <v>0.1</v>
      </c>
      <c r="T46" s="57">
        <f t="shared" si="9"/>
        <v>2.0327884405819931E-5</v>
      </c>
    </row>
    <row r="47" spans="1:20" x14ac:dyDescent="0.2">
      <c r="A47" t="s">
        <v>63</v>
      </c>
      <c r="B47" t="s">
        <v>28</v>
      </c>
      <c r="C47" s="13">
        <v>36850.383999999998</v>
      </c>
      <c r="D47" s="13" t="s">
        <v>57</v>
      </c>
      <c r="E47">
        <f t="shared" si="1"/>
        <v>83.479996256941746</v>
      </c>
      <c r="F47">
        <f t="shared" si="2"/>
        <v>83.5</v>
      </c>
      <c r="G47">
        <f t="shared" si="10"/>
        <v>-2.2232000002986751E-2</v>
      </c>
      <c r="I47">
        <f t="shared" si="11"/>
        <v>-2.2232000002986751E-2</v>
      </c>
      <c r="O47">
        <f t="shared" ca="1" si="5"/>
        <v>5.2508004745948016E-2</v>
      </c>
      <c r="P47" s="61">
        <f t="shared" si="7"/>
        <v>2.5426719436130153E-2</v>
      </c>
      <c r="Q47" s="2">
        <f t="shared" si="6"/>
        <v>21831.883999999998</v>
      </c>
      <c r="R47" s="57">
        <f t="shared" si="8"/>
        <v>2.2713535385764597E-3</v>
      </c>
      <c r="S47" s="64">
        <v>0.1</v>
      </c>
      <c r="T47" s="57">
        <f t="shared" si="9"/>
        <v>2.2713535385764598E-4</v>
      </c>
    </row>
    <row r="48" spans="1:20" x14ac:dyDescent="0.2">
      <c r="A48" t="s">
        <v>63</v>
      </c>
      <c r="B48" t="s">
        <v>30</v>
      </c>
      <c r="C48" s="13">
        <v>36876.476000000002</v>
      </c>
      <c r="D48" s="13" t="s">
        <v>57</v>
      </c>
      <c r="E48">
        <f t="shared" si="1"/>
        <v>106.95686130546125</v>
      </c>
      <c r="F48">
        <f t="shared" si="2"/>
        <v>107</v>
      </c>
      <c r="G48">
        <f t="shared" si="10"/>
        <v>-4.7943999998096842E-2</v>
      </c>
      <c r="I48">
        <f t="shared" si="11"/>
        <v>-4.7943999998096842E-2</v>
      </c>
      <c r="O48">
        <f t="shared" ca="1" si="5"/>
        <v>5.283279181130044E-2</v>
      </c>
      <c r="P48" s="61">
        <f t="shared" si="7"/>
        <v>2.5641546260974257E-2</v>
      </c>
      <c r="Q48" s="2">
        <f t="shared" si="6"/>
        <v>21857.976000000002</v>
      </c>
      <c r="R48" s="57">
        <f t="shared" si="8"/>
        <v>5.4148326182458925E-3</v>
      </c>
      <c r="S48" s="64">
        <v>0.1</v>
      </c>
      <c r="T48" s="57">
        <f t="shared" si="9"/>
        <v>5.4148326182458929E-4</v>
      </c>
    </row>
    <row r="49" spans="1:20" x14ac:dyDescent="0.2">
      <c r="A49" s="9" t="s">
        <v>27</v>
      </c>
      <c r="B49" s="10" t="s">
        <v>28</v>
      </c>
      <c r="C49" s="9">
        <v>49899.474800000004</v>
      </c>
      <c r="D49" s="9">
        <v>1.2999999999999999E-3</v>
      </c>
      <c r="E49">
        <f t="shared" si="1"/>
        <v>11824.693537473728</v>
      </c>
      <c r="F49">
        <f t="shared" si="2"/>
        <v>11824.5</v>
      </c>
      <c r="G49">
        <f t="shared" si="10"/>
        <v>0.21509599999990314</v>
      </c>
      <c r="J49">
        <f>+G49</f>
        <v>0.21509599999990314</v>
      </c>
      <c r="O49">
        <f t="shared" ca="1" si="5"/>
        <v>0.21477715088649199</v>
      </c>
      <c r="P49" s="61">
        <f t="shared" si="7"/>
        <v>0.19522387889721166</v>
      </c>
      <c r="Q49" s="2">
        <f t="shared" si="6"/>
        <v>34880.974800000004</v>
      </c>
      <c r="R49" s="57">
        <f t="shared" si="8"/>
        <v>3.949011971200363E-4</v>
      </c>
      <c r="S49" s="64">
        <v>1</v>
      </c>
      <c r="T49" s="57">
        <f t="shared" si="9"/>
        <v>3.949011971200363E-4</v>
      </c>
    </row>
    <row r="50" spans="1:20" x14ac:dyDescent="0.2">
      <c r="A50" s="9" t="s">
        <v>27</v>
      </c>
      <c r="B50" s="10"/>
      <c r="C50" s="9">
        <v>49924.484700000001</v>
      </c>
      <c r="D50" s="9">
        <v>6.9999999999999999E-4</v>
      </c>
      <c r="E50">
        <f t="shared" si="1"/>
        <v>11847.196758659409</v>
      </c>
      <c r="F50">
        <f t="shared" si="2"/>
        <v>11847</v>
      </c>
      <c r="G50">
        <f t="shared" si="10"/>
        <v>0.21867599999677623</v>
      </c>
      <c r="J50">
        <f>+G50</f>
        <v>0.21867599999677623</v>
      </c>
      <c r="O50">
        <f t="shared" ca="1" si="5"/>
        <v>0.21508811722565921</v>
      </c>
      <c r="P50" s="61">
        <f t="shared" si="7"/>
        <v>0.19566944904891106</v>
      </c>
      <c r="Q50" s="2">
        <f t="shared" si="6"/>
        <v>34905.984700000001</v>
      </c>
      <c r="R50" s="57">
        <f t="shared" si="8"/>
        <v>5.2930138651671537E-4</v>
      </c>
      <c r="S50" s="64">
        <v>1</v>
      </c>
      <c r="T50" s="57">
        <f t="shared" si="9"/>
        <v>5.2930138651671537E-4</v>
      </c>
    </row>
    <row r="51" spans="1:20" x14ac:dyDescent="0.2">
      <c r="A51" s="9" t="s">
        <v>27</v>
      </c>
      <c r="B51" s="10" t="s">
        <v>28</v>
      </c>
      <c r="C51" s="9">
        <v>49929.481200000002</v>
      </c>
      <c r="D51" s="9">
        <v>5.0000000000000001E-4</v>
      </c>
      <c r="E51">
        <f t="shared" si="1"/>
        <v>11851.692472143042</v>
      </c>
      <c r="F51">
        <f t="shared" si="2"/>
        <v>11851.5</v>
      </c>
      <c r="G51">
        <f t="shared" si="10"/>
        <v>0.21391199999925448</v>
      </c>
      <c r="J51">
        <f>+G51</f>
        <v>0.21391199999925448</v>
      </c>
      <c r="O51">
        <f t="shared" ca="1" si="5"/>
        <v>0.21515031049349265</v>
      </c>
      <c r="P51" s="61">
        <f t="shared" si="7"/>
        <v>0.19575861824634036</v>
      </c>
      <c r="Q51" s="2">
        <f t="shared" si="6"/>
        <v>34910.981200000002</v>
      </c>
      <c r="R51" s="57">
        <f t="shared" si="8"/>
        <v>3.2954526906703519E-4</v>
      </c>
      <c r="S51" s="64">
        <v>1</v>
      </c>
      <c r="T51" s="57">
        <f t="shared" si="9"/>
        <v>3.2954526906703519E-4</v>
      </c>
    </row>
    <row r="52" spans="1:20" x14ac:dyDescent="0.2">
      <c r="A52" t="s">
        <v>158</v>
      </c>
      <c r="B52" t="s">
        <v>30</v>
      </c>
      <c r="C52" s="13">
        <v>51459.324999999997</v>
      </c>
      <c r="D52" s="13" t="s">
        <v>57</v>
      </c>
      <c r="E52">
        <f t="shared" si="1"/>
        <v>13228.203910051534</v>
      </c>
      <c r="F52">
        <f t="shared" si="2"/>
        <v>13228</v>
      </c>
      <c r="G52">
        <f t="shared" si="10"/>
        <v>0.2266239999953541</v>
      </c>
      <c r="I52">
        <f>+G52</f>
        <v>0.2266239999953541</v>
      </c>
      <c r="O52">
        <f t="shared" ca="1" si="5"/>
        <v>0.23417454008743344</v>
      </c>
      <c r="P52" s="61">
        <f t="shared" si="7"/>
        <v>0.22389760995519359</v>
      </c>
      <c r="Q52" s="2">
        <f t="shared" si="6"/>
        <v>36440.824999999997</v>
      </c>
      <c r="R52" s="57">
        <f t="shared" si="8"/>
        <v>7.4332026510864217E-6</v>
      </c>
      <c r="S52" s="64">
        <v>0.1</v>
      </c>
      <c r="T52" s="57">
        <f t="shared" si="9"/>
        <v>7.4332026510864222E-7</v>
      </c>
    </row>
    <row r="53" spans="1:20" x14ac:dyDescent="0.2">
      <c r="A53" s="11" t="s">
        <v>29</v>
      </c>
      <c r="B53" s="10" t="s">
        <v>30</v>
      </c>
      <c r="C53" s="9">
        <v>52507.3773</v>
      </c>
      <c r="D53" s="9">
        <v>2.9999999999999997E-4</v>
      </c>
      <c r="E53">
        <f t="shared" si="1"/>
        <v>14171.212587457889</v>
      </c>
      <c r="F53">
        <f t="shared" si="2"/>
        <v>14171</v>
      </c>
      <c r="G53">
        <f t="shared" si="10"/>
        <v>0.23626800000056392</v>
      </c>
      <c r="K53">
        <f>+G53</f>
        <v>0.23626800000056392</v>
      </c>
      <c r="O53">
        <f t="shared" ca="1" si="5"/>
        <v>0.24720748488008593</v>
      </c>
      <c r="P53" s="61">
        <f t="shared" si="7"/>
        <v>0.2441679510149421</v>
      </c>
      <c r="Q53" s="2">
        <f t="shared" si="6"/>
        <v>37488.8773</v>
      </c>
      <c r="R53" s="57">
        <f t="shared" si="8"/>
        <v>6.2409226029574863E-5</v>
      </c>
      <c r="S53" s="64">
        <v>1</v>
      </c>
      <c r="T53" s="57">
        <f t="shared" si="9"/>
        <v>6.2409226029574863E-5</v>
      </c>
    </row>
    <row r="54" spans="1:20" x14ac:dyDescent="0.2">
      <c r="A54" s="15" t="s">
        <v>34</v>
      </c>
      <c r="B54" s="16" t="s">
        <v>30</v>
      </c>
      <c r="C54" s="17">
        <v>52576.286099999998</v>
      </c>
      <c r="D54" s="17">
        <v>1.1999999999999999E-3</v>
      </c>
      <c r="E54">
        <f t="shared" si="1"/>
        <v>14233.21483329014</v>
      </c>
      <c r="F54">
        <f t="shared" si="2"/>
        <v>14233</v>
      </c>
      <c r="G54">
        <f t="shared" si="10"/>
        <v>0.23876399999426212</v>
      </c>
      <c r="K54">
        <f>+G54</f>
        <v>0.23876399999426212</v>
      </c>
      <c r="O54">
        <f t="shared" ca="1" si="5"/>
        <v>0.24806436990356892</v>
      </c>
      <c r="P54" s="61">
        <f t="shared" si="7"/>
        <v>0.24552896943744393</v>
      </c>
      <c r="Q54" s="2">
        <f t="shared" si="6"/>
        <v>37557.786099999998</v>
      </c>
      <c r="R54" s="57">
        <f t="shared" si="8"/>
        <v>4.5764811567183557E-5</v>
      </c>
      <c r="S54" s="64">
        <v>1</v>
      </c>
      <c r="T54" s="57">
        <f t="shared" si="9"/>
        <v>4.5764811567183557E-5</v>
      </c>
    </row>
    <row r="55" spans="1:20" x14ac:dyDescent="0.2">
      <c r="A55" s="18" t="s">
        <v>40</v>
      </c>
      <c r="B55" s="19" t="s">
        <v>30</v>
      </c>
      <c r="C55" s="13">
        <v>54023.352899999998</v>
      </c>
      <c r="D55" s="13">
        <v>1.5E-3</v>
      </c>
      <c r="E55">
        <f t="shared" si="1"/>
        <v>15535.245799861792</v>
      </c>
      <c r="F55">
        <f t="shared" si="2"/>
        <v>15535</v>
      </c>
      <c r="G55">
        <f t="shared" si="10"/>
        <v>0.27317999999650056</v>
      </c>
      <c r="J55">
        <f>+G55</f>
        <v>0.27317999999650056</v>
      </c>
      <c r="O55">
        <f t="shared" ca="1" si="5"/>
        <v>0.26605895539671159</v>
      </c>
      <c r="P55" s="61">
        <f t="shared" si="7"/>
        <v>0.27491671662929562</v>
      </c>
      <c r="Q55" s="2">
        <f t="shared" si="6"/>
        <v>39004.852899999998</v>
      </c>
      <c r="R55" s="57">
        <f t="shared" si="8"/>
        <v>3.0161846626270306E-6</v>
      </c>
      <c r="S55" s="64">
        <v>1</v>
      </c>
      <c r="T55" s="57">
        <f t="shared" si="9"/>
        <v>3.0161846626270306E-6</v>
      </c>
    </row>
    <row r="56" spans="1:20" x14ac:dyDescent="0.2">
      <c r="A56" t="s">
        <v>179</v>
      </c>
      <c r="B56" t="s">
        <v>28</v>
      </c>
      <c r="C56" s="13">
        <v>54377.340499999998</v>
      </c>
      <c r="D56" s="13" t="s">
        <v>57</v>
      </c>
      <c r="E56">
        <f t="shared" si="1"/>
        <v>15853.754120958218</v>
      </c>
      <c r="F56" s="37">
        <f t="shared" ref="F56:F64" si="12">ROUND(2*E56,0)/2-0.5</f>
        <v>15853.5</v>
      </c>
      <c r="G56">
        <f t="shared" si="10"/>
        <v>0.28242799999861745</v>
      </c>
      <c r="K56">
        <f>+G56</f>
        <v>0.28242799999861745</v>
      </c>
      <c r="O56">
        <f t="shared" ca="1" si="5"/>
        <v>0.27046085668670083</v>
      </c>
      <c r="P56" s="61">
        <f t="shared" si="7"/>
        <v>0.28234000333370157</v>
      </c>
      <c r="Q56" s="2">
        <f t="shared" si="6"/>
        <v>39358.840499999998</v>
      </c>
      <c r="R56" s="57">
        <f t="shared" si="8"/>
        <v>7.7434130363175265E-9</v>
      </c>
      <c r="S56" s="64">
        <v>1</v>
      </c>
      <c r="T56" s="57">
        <f t="shared" si="9"/>
        <v>7.7434130363175265E-9</v>
      </c>
    </row>
    <row r="57" spans="1:20" x14ac:dyDescent="0.2">
      <c r="A57" s="65" t="s">
        <v>179</v>
      </c>
      <c r="B57" s="65" t="s">
        <v>30</v>
      </c>
      <c r="C57" s="66">
        <v>54382.339800000002</v>
      </c>
      <c r="D57" s="66" t="s">
        <v>57</v>
      </c>
      <c r="E57">
        <f t="shared" si="1"/>
        <v>15858.252353804957</v>
      </c>
      <c r="F57" s="37">
        <f t="shared" si="12"/>
        <v>15858</v>
      </c>
      <c r="G57">
        <f t="shared" si="10"/>
        <v>0.28046399999584537</v>
      </c>
      <c r="K57">
        <f>+G57</f>
        <v>0.28046399999584537</v>
      </c>
      <c r="O57">
        <f t="shared" ca="1" si="5"/>
        <v>0.27052304995453424</v>
      </c>
      <c r="P57" s="61">
        <f t="shared" si="7"/>
        <v>0.28244554489733825</v>
      </c>
      <c r="Q57" s="2">
        <f t="shared" si="6"/>
        <v>39363.839800000002</v>
      </c>
      <c r="R57" s="57">
        <f t="shared" si="8"/>
        <v>3.9265201966324359E-6</v>
      </c>
      <c r="S57" s="64">
        <v>1</v>
      </c>
      <c r="T57" s="57">
        <f t="shared" si="9"/>
        <v>3.9265201966324359E-6</v>
      </c>
    </row>
    <row r="58" spans="1:20" x14ac:dyDescent="0.2">
      <c r="A58" s="65" t="s">
        <v>188</v>
      </c>
      <c r="B58" s="65" t="s">
        <v>30</v>
      </c>
      <c r="C58" s="66">
        <v>54663.527800000003</v>
      </c>
      <c r="D58" s="66" t="s">
        <v>57</v>
      </c>
      <c r="E58">
        <f t="shared" si="1"/>
        <v>16111.257594080218</v>
      </c>
      <c r="F58" s="37">
        <f t="shared" si="12"/>
        <v>16111</v>
      </c>
      <c r="G58">
        <f t="shared" si="10"/>
        <v>0.28628800000296906</v>
      </c>
      <c r="K58">
        <f>+G58</f>
        <v>0.28628800000296906</v>
      </c>
      <c r="O58">
        <f t="shared" ca="1" si="5"/>
        <v>0.27401969367939227</v>
      </c>
      <c r="P58" s="61">
        <f t="shared" si="7"/>
        <v>0.28840890637191458</v>
      </c>
      <c r="Q58" s="2">
        <f t="shared" si="6"/>
        <v>39645.027800000003</v>
      </c>
      <c r="R58" s="57">
        <f t="shared" si="8"/>
        <v>4.4982438258336647E-6</v>
      </c>
      <c r="S58" s="64">
        <v>1</v>
      </c>
      <c r="T58" s="57">
        <f t="shared" si="9"/>
        <v>4.4982438258336647E-6</v>
      </c>
    </row>
    <row r="59" spans="1:20" x14ac:dyDescent="0.2">
      <c r="A59" s="18" t="s">
        <v>46</v>
      </c>
      <c r="B59" s="18"/>
      <c r="C59" s="66">
        <v>55396.498</v>
      </c>
      <c r="D59" s="66">
        <v>4.7000000000000002E-3</v>
      </c>
      <c r="E59">
        <f t="shared" si="1"/>
        <v>16770.764050847942</v>
      </c>
      <c r="F59" s="37">
        <f t="shared" si="12"/>
        <v>16770.5</v>
      </c>
      <c r="G59">
        <f t="shared" si="10"/>
        <v>0.29346399999485584</v>
      </c>
      <c r="J59">
        <f>+G59</f>
        <v>0.29346399999485584</v>
      </c>
      <c r="O59">
        <f t="shared" ca="1" si="5"/>
        <v>0.28313446259853786</v>
      </c>
      <c r="P59" s="61">
        <f t="shared" si="7"/>
        <v>0.3042269607472845</v>
      </c>
      <c r="Q59" s="2">
        <f t="shared" si="6"/>
        <v>40377.998</v>
      </c>
      <c r="R59" s="57">
        <f t="shared" si="8"/>
        <v>1.1584132415831977E-4</v>
      </c>
      <c r="S59" s="64">
        <v>1</v>
      </c>
      <c r="T59" s="57">
        <f t="shared" si="9"/>
        <v>1.1584132415831977E-4</v>
      </c>
    </row>
    <row r="60" spans="1:20" x14ac:dyDescent="0.2">
      <c r="A60" s="18" t="s">
        <v>42</v>
      </c>
      <c r="B60" s="67" t="s">
        <v>28</v>
      </c>
      <c r="C60" s="66">
        <v>55705.470690000002</v>
      </c>
      <c r="D60" s="66">
        <v>1E-3</v>
      </c>
      <c r="E60">
        <f t="shared" si="1"/>
        <v>17048.769192148226</v>
      </c>
      <c r="F60" s="37">
        <f t="shared" si="12"/>
        <v>17048.5</v>
      </c>
      <c r="G60">
        <f t="shared" si="10"/>
        <v>0.29917800000112038</v>
      </c>
      <c r="K60">
        <f>+G60</f>
        <v>0.29917800000112038</v>
      </c>
      <c r="O60">
        <f t="shared" ca="1" si="5"/>
        <v>0.28697662447802608</v>
      </c>
      <c r="P60" s="61">
        <f t="shared" si="7"/>
        <v>0.31101310516578395</v>
      </c>
      <c r="Q60" s="2">
        <f t="shared" si="6"/>
        <v>40686.970690000002</v>
      </c>
      <c r="R60" s="57">
        <f t="shared" si="8"/>
        <v>1.4006971425864639E-4</v>
      </c>
      <c r="S60" s="64">
        <v>1</v>
      </c>
      <c r="T60" s="57">
        <f t="shared" si="9"/>
        <v>1.4006971425864639E-4</v>
      </c>
    </row>
    <row r="61" spans="1:20" x14ac:dyDescent="0.2">
      <c r="A61" s="18" t="s">
        <v>43</v>
      </c>
      <c r="B61" s="67" t="s">
        <v>30</v>
      </c>
      <c r="C61" s="66">
        <v>56094.466699999997</v>
      </c>
      <c r="D61" s="66">
        <v>5.5999999999999999E-3</v>
      </c>
      <c r="E61">
        <f t="shared" si="1"/>
        <v>17398.777119144277</v>
      </c>
      <c r="F61" s="37">
        <f t="shared" si="12"/>
        <v>17398.5</v>
      </c>
      <c r="G61">
        <f t="shared" si="10"/>
        <v>0.30798799999320181</v>
      </c>
      <c r="J61">
        <f>+G61</f>
        <v>0.30798799999320181</v>
      </c>
      <c r="O61">
        <f t="shared" ca="1" si="5"/>
        <v>0.29181387864284936</v>
      </c>
      <c r="P61" s="61">
        <f t="shared" si="7"/>
        <v>0.31965661238359588</v>
      </c>
      <c r="Q61" s="2">
        <f t="shared" si="6"/>
        <v>41075.966699999997</v>
      </c>
      <c r="R61" s="57">
        <f t="shared" si="8"/>
        <v>1.3615651511725808E-4</v>
      </c>
      <c r="S61" s="64">
        <v>1</v>
      </c>
      <c r="T61" s="57">
        <f t="shared" si="9"/>
        <v>1.3615651511725808E-4</v>
      </c>
    </row>
    <row r="62" spans="1:20" x14ac:dyDescent="0.2">
      <c r="A62" s="68" t="s">
        <v>0</v>
      </c>
      <c r="B62" s="69" t="s">
        <v>30</v>
      </c>
      <c r="C62" s="70">
        <v>57257.584699999999</v>
      </c>
      <c r="D62" s="70">
        <v>2.7000000000000001E-3</v>
      </c>
      <c r="E62">
        <f>+(C62-C$7)/C$8</f>
        <v>18445.318753419135</v>
      </c>
      <c r="F62" s="37">
        <f t="shared" si="12"/>
        <v>18445</v>
      </c>
      <c r="G62">
        <f>+C62-(C$7+F62*C$8)</f>
        <v>0.35426000000006752</v>
      </c>
      <c r="K62">
        <f>+G62</f>
        <v>0.35426000000006752</v>
      </c>
      <c r="O62">
        <f ca="1">+C$11+C$12*$F62</f>
        <v>0.30627726859567106</v>
      </c>
      <c r="P62" s="61">
        <f>+D$11+D$12*F62+D$13*F62^2</f>
        <v>0.34616426472178019</v>
      </c>
      <c r="Q62" s="2">
        <f>+C62-15018.5</f>
        <v>42239.084699999999</v>
      </c>
      <c r="R62" s="57">
        <f>+(P62-G62)^2</f>
        <v>6.5540929696106042E-5</v>
      </c>
      <c r="S62" s="64">
        <v>1</v>
      </c>
      <c r="T62" s="57">
        <f>+S62*R62</f>
        <v>6.5540929696106042E-5</v>
      </c>
    </row>
    <row r="63" spans="1:20" x14ac:dyDescent="0.2">
      <c r="A63" s="68" t="s">
        <v>0</v>
      </c>
      <c r="B63" s="69" t="s">
        <v>30</v>
      </c>
      <c r="C63" s="70">
        <v>57256.471899999997</v>
      </c>
      <c r="D63" s="70">
        <v>8.8999999999999999E-3</v>
      </c>
      <c r="E63">
        <f>+(C63-C$7)/C$8</f>
        <v>18444.317486539399</v>
      </c>
      <c r="F63" s="37">
        <f t="shared" si="12"/>
        <v>18444</v>
      </c>
      <c r="G63">
        <f>+C63-(C$7+F63*C$8)</f>
        <v>0.35285199999634642</v>
      </c>
      <c r="J63">
        <f>+G63</f>
        <v>0.35285199999634642</v>
      </c>
      <c r="O63">
        <f ca="1">+C$11+C$12*$F63</f>
        <v>0.30626344786948589</v>
      </c>
      <c r="P63" s="61">
        <f>+D$11+D$12*F63+D$13*F63^2</f>
        <v>0.3461384601964822</v>
      </c>
      <c r="Q63" s="2">
        <f>+C63-15018.5</f>
        <v>42237.971899999997</v>
      </c>
      <c r="R63" s="57">
        <f>+(P63-G63)^2</f>
        <v>4.5071616644360922E-5</v>
      </c>
      <c r="S63" s="64">
        <v>1</v>
      </c>
      <c r="T63" s="57">
        <f>+S63*R63</f>
        <v>4.5071616644360922E-5</v>
      </c>
    </row>
    <row r="64" spans="1:20" x14ac:dyDescent="0.2">
      <c r="A64" s="71" t="s">
        <v>213</v>
      </c>
      <c r="B64" s="72" t="s">
        <v>30</v>
      </c>
      <c r="C64" s="73">
        <v>57934.431760000065</v>
      </c>
      <c r="D64" s="73">
        <v>8.0000000000000004E-4</v>
      </c>
      <c r="E64">
        <f>+(C64-C$7)/C$8</f>
        <v>19054.327150096513</v>
      </c>
      <c r="F64" s="37">
        <f t="shared" si="12"/>
        <v>19054</v>
      </c>
      <c r="G64">
        <f>+C64-(C$7+F64*C$8)</f>
        <v>0.36359200006700121</v>
      </c>
      <c r="K64">
        <f>+G64</f>
        <v>0.36359200006700121</v>
      </c>
      <c r="O64">
        <f ca="1">+C$11+C$12*$F64</f>
        <v>0.31469409084246358</v>
      </c>
      <c r="P64" s="61">
        <f>+D$11+D$12*F64+D$13*F64^2</f>
        <v>0.36204789570691331</v>
      </c>
      <c r="Q64" s="2">
        <f>+C64-15018.5</f>
        <v>42915.931760000065</v>
      </c>
      <c r="R64" s="57">
        <f>+(P64-G64)^2</f>
        <v>2.3842582748424461E-6</v>
      </c>
      <c r="S64" s="64">
        <v>1</v>
      </c>
      <c r="T64" s="57">
        <f>+S64*R64</f>
        <v>2.3842582748424461E-6</v>
      </c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</sheetData>
  <protectedRanges>
    <protectedRange sqref="A64:D64" name="Range1"/>
  </protectedRanges>
  <phoneticPr fontId="8" type="noConversion"/>
  <hyperlinks>
    <hyperlink ref="H3412" r:id="rId1" display="http://vsolj.cetus-net.org/bulletin.html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5"/>
  <sheetViews>
    <sheetView topLeftCell="A6" workbookViewId="0">
      <selection activeCell="A20" sqref="A20:D50"/>
    </sheetView>
  </sheetViews>
  <sheetFormatPr defaultRowHeight="12.75" x14ac:dyDescent="0.2"/>
  <cols>
    <col min="1" max="1" width="19.7109375" style="13" customWidth="1"/>
    <col min="2" max="2" width="4.42578125" style="21" customWidth="1"/>
    <col min="3" max="3" width="12.7109375" style="1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50</v>
      </c>
      <c r="J2" s="42" t="s">
        <v>51</v>
      </c>
    </row>
    <row r="3" spans="1:16" x14ac:dyDescent="0.2">
      <c r="A3" s="43" t="s">
        <v>52</v>
      </c>
      <c r="I3" s="41" t="s">
        <v>53</v>
      </c>
      <c r="J3" s="42" t="s">
        <v>54</v>
      </c>
    </row>
    <row r="4" spans="1:16" x14ac:dyDescent="0.2">
      <c r="I4" s="41" t="s">
        <v>55</v>
      </c>
      <c r="J4" s="42" t="s">
        <v>54</v>
      </c>
    </row>
    <row r="5" spans="1:16" ht="13.5" thickBot="1" x14ac:dyDescent="0.25">
      <c r="I5" s="44" t="s">
        <v>56</v>
      </c>
      <c r="J5" s="45" t="s">
        <v>57</v>
      </c>
    </row>
    <row r="10" spans="1:16" ht="13.5" thickBot="1" x14ac:dyDescent="0.25"/>
    <row r="11" spans="1:16" ht="12.75" customHeight="1" thickBot="1" x14ac:dyDescent="0.25">
      <c r="A11" s="13" t="str">
        <f t="shared" ref="A11:A50" si="0">P11</f>
        <v>BAVM 90 </v>
      </c>
      <c r="B11" s="24" t="str">
        <f t="shared" ref="B11:B50" si="1">IF(H11=INT(H11),"I","II")</f>
        <v>II</v>
      </c>
      <c r="C11" s="13">
        <f t="shared" ref="C11:C50" si="2">1*G11</f>
        <v>49899.474800000004</v>
      </c>
      <c r="D11" s="21" t="str">
        <f t="shared" ref="D11:D50" si="3">VLOOKUP(F11,I$1:J$5,2,FALSE)</f>
        <v>vis</v>
      </c>
      <c r="E11" s="46">
        <f>VLOOKUP(C11,Active!C$21:E$973,3,FALSE)</f>
        <v>11824.693537473728</v>
      </c>
      <c r="F11" s="24" t="s">
        <v>56</v>
      </c>
      <c r="G11" s="21" t="str">
        <f t="shared" ref="G11:G50" si="4">MID(I11,3,LEN(I11)-3)</f>
        <v>49899.4748</v>
      </c>
      <c r="H11" s="13">
        <f t="shared" ref="H11:H50" si="5">1*K11</f>
        <v>-4286.5</v>
      </c>
      <c r="I11" s="47" t="s">
        <v>141</v>
      </c>
      <c r="J11" s="48" t="s">
        <v>142</v>
      </c>
      <c r="K11" s="47">
        <v>-4286.5</v>
      </c>
      <c r="L11" s="47" t="s">
        <v>143</v>
      </c>
      <c r="M11" s="48" t="s">
        <v>144</v>
      </c>
      <c r="N11" s="48" t="s">
        <v>145</v>
      </c>
      <c r="O11" s="49" t="s">
        <v>146</v>
      </c>
      <c r="P11" s="50" t="s">
        <v>147</v>
      </c>
    </row>
    <row r="12" spans="1:16" ht="12.75" customHeight="1" thickBot="1" x14ac:dyDescent="0.25">
      <c r="A12" s="13" t="str">
        <f t="shared" si="0"/>
        <v>BAVM 90 </v>
      </c>
      <c r="B12" s="24" t="str">
        <f t="shared" si="1"/>
        <v>I</v>
      </c>
      <c r="C12" s="13">
        <f t="shared" si="2"/>
        <v>49924.484700000001</v>
      </c>
      <c r="D12" s="21" t="str">
        <f t="shared" si="3"/>
        <v>vis</v>
      </c>
      <c r="E12" s="46">
        <f>VLOOKUP(C12,Active!C$21:E$973,3,FALSE)</f>
        <v>11847.196758659409</v>
      </c>
      <c r="F12" s="24" t="s">
        <v>56</v>
      </c>
      <c r="G12" s="21" t="str">
        <f t="shared" si="4"/>
        <v>49924.4847</v>
      </c>
      <c r="H12" s="13">
        <f t="shared" si="5"/>
        <v>-4264</v>
      </c>
      <c r="I12" s="47" t="s">
        <v>148</v>
      </c>
      <c r="J12" s="48" t="s">
        <v>149</v>
      </c>
      <c r="K12" s="47">
        <v>-4264</v>
      </c>
      <c r="L12" s="47" t="s">
        <v>150</v>
      </c>
      <c r="M12" s="48" t="s">
        <v>144</v>
      </c>
      <c r="N12" s="48" t="s">
        <v>145</v>
      </c>
      <c r="O12" s="49" t="s">
        <v>146</v>
      </c>
      <c r="P12" s="50" t="s">
        <v>147</v>
      </c>
    </row>
    <row r="13" spans="1:16" ht="12.75" customHeight="1" thickBot="1" x14ac:dyDescent="0.25">
      <c r="A13" s="13" t="str">
        <f t="shared" si="0"/>
        <v>BAVM 90 </v>
      </c>
      <c r="B13" s="24" t="str">
        <f t="shared" si="1"/>
        <v>II</v>
      </c>
      <c r="C13" s="13">
        <f t="shared" si="2"/>
        <v>49929.481200000002</v>
      </c>
      <c r="D13" s="21" t="str">
        <f t="shared" si="3"/>
        <v>vis</v>
      </c>
      <c r="E13" s="46">
        <f>VLOOKUP(C13,Active!C$21:E$973,3,FALSE)</f>
        <v>11851.692472143042</v>
      </c>
      <c r="F13" s="24" t="s">
        <v>56</v>
      </c>
      <c r="G13" s="21" t="str">
        <f t="shared" si="4"/>
        <v>49929.4812</v>
      </c>
      <c r="H13" s="13">
        <f t="shared" si="5"/>
        <v>-4259.5</v>
      </c>
      <c r="I13" s="47" t="s">
        <v>151</v>
      </c>
      <c r="J13" s="48" t="s">
        <v>152</v>
      </c>
      <c r="K13" s="47">
        <v>-4259.5</v>
      </c>
      <c r="L13" s="47" t="s">
        <v>153</v>
      </c>
      <c r="M13" s="48" t="s">
        <v>144</v>
      </c>
      <c r="N13" s="48" t="s">
        <v>145</v>
      </c>
      <c r="O13" s="49" t="s">
        <v>146</v>
      </c>
      <c r="P13" s="50" t="s">
        <v>147</v>
      </c>
    </row>
    <row r="14" spans="1:16" ht="12.75" customHeight="1" thickBot="1" x14ac:dyDescent="0.25">
      <c r="A14" s="13" t="str">
        <f t="shared" si="0"/>
        <v>IBVS 5594 </v>
      </c>
      <c r="B14" s="24" t="str">
        <f t="shared" si="1"/>
        <v>I</v>
      </c>
      <c r="C14" s="13">
        <f t="shared" si="2"/>
        <v>52507.3773</v>
      </c>
      <c r="D14" s="21" t="str">
        <f t="shared" si="3"/>
        <v>vis</v>
      </c>
      <c r="E14" s="46">
        <f>VLOOKUP(C14,Active!C$21:E$973,3,FALSE)</f>
        <v>14171.212587457889</v>
      </c>
      <c r="F14" s="24" t="s">
        <v>56</v>
      </c>
      <c r="G14" s="21" t="str">
        <f t="shared" si="4"/>
        <v>52507.3773</v>
      </c>
      <c r="H14" s="13">
        <f t="shared" si="5"/>
        <v>-1940</v>
      </c>
      <c r="I14" s="47" t="s">
        <v>159</v>
      </c>
      <c r="J14" s="48" t="s">
        <v>160</v>
      </c>
      <c r="K14" s="47">
        <v>-1940</v>
      </c>
      <c r="L14" s="47" t="s">
        <v>161</v>
      </c>
      <c r="M14" s="48" t="s">
        <v>144</v>
      </c>
      <c r="N14" s="48" t="s">
        <v>156</v>
      </c>
      <c r="O14" s="49" t="s">
        <v>162</v>
      </c>
      <c r="P14" s="50" t="s">
        <v>163</v>
      </c>
    </row>
    <row r="15" spans="1:16" ht="12.75" customHeight="1" thickBot="1" x14ac:dyDescent="0.25">
      <c r="A15" s="13" t="str">
        <f t="shared" si="0"/>
        <v> BBS 129 </v>
      </c>
      <c r="B15" s="24" t="str">
        <f t="shared" si="1"/>
        <v>I</v>
      </c>
      <c r="C15" s="13">
        <f t="shared" si="2"/>
        <v>52576.286099999998</v>
      </c>
      <c r="D15" s="21" t="str">
        <f t="shared" si="3"/>
        <v>vis</v>
      </c>
      <c r="E15" s="46">
        <f>VLOOKUP(C15,Active!C$21:E$973,3,FALSE)</f>
        <v>14233.21483329014</v>
      </c>
      <c r="F15" s="24" t="s">
        <v>56</v>
      </c>
      <c r="G15" s="21" t="str">
        <f t="shared" si="4"/>
        <v>52576.2861</v>
      </c>
      <c r="H15" s="13">
        <f t="shared" si="5"/>
        <v>-1878</v>
      </c>
      <c r="I15" s="47" t="s">
        <v>164</v>
      </c>
      <c r="J15" s="48" t="s">
        <v>165</v>
      </c>
      <c r="K15" s="47">
        <v>-1878</v>
      </c>
      <c r="L15" s="47" t="s">
        <v>166</v>
      </c>
      <c r="M15" s="48" t="s">
        <v>144</v>
      </c>
      <c r="N15" s="48" t="s">
        <v>156</v>
      </c>
      <c r="O15" s="49" t="s">
        <v>167</v>
      </c>
      <c r="P15" s="49" t="s">
        <v>168</v>
      </c>
    </row>
    <row r="16" spans="1:16" ht="12.75" customHeight="1" thickBot="1" x14ac:dyDescent="0.25">
      <c r="A16" s="13" t="str">
        <f t="shared" si="0"/>
        <v>BAVM 183 </v>
      </c>
      <c r="B16" s="24" t="str">
        <f t="shared" si="1"/>
        <v>I</v>
      </c>
      <c r="C16" s="13">
        <f t="shared" si="2"/>
        <v>54023.352899999998</v>
      </c>
      <c r="D16" s="21" t="str">
        <f t="shared" si="3"/>
        <v>vis</v>
      </c>
      <c r="E16" s="46">
        <f>VLOOKUP(C16,Active!C$21:E$973,3,FALSE)</f>
        <v>15535.245799861792</v>
      </c>
      <c r="F16" s="24" t="s">
        <v>56</v>
      </c>
      <c r="G16" s="21" t="str">
        <f t="shared" si="4"/>
        <v>54023.3529</v>
      </c>
      <c r="H16" s="13">
        <f t="shared" si="5"/>
        <v>-576</v>
      </c>
      <c r="I16" s="47" t="s">
        <v>169</v>
      </c>
      <c r="J16" s="48" t="s">
        <v>170</v>
      </c>
      <c r="K16" s="47">
        <v>-576</v>
      </c>
      <c r="L16" s="47" t="s">
        <v>171</v>
      </c>
      <c r="M16" s="48" t="s">
        <v>172</v>
      </c>
      <c r="N16" s="48" t="s">
        <v>173</v>
      </c>
      <c r="O16" s="49" t="s">
        <v>174</v>
      </c>
      <c r="P16" s="50" t="s">
        <v>175</v>
      </c>
    </row>
    <row r="17" spans="1:16" ht="12.75" customHeight="1" thickBot="1" x14ac:dyDescent="0.25">
      <c r="A17" s="13" t="str">
        <f t="shared" si="0"/>
        <v>BAVM 215 </v>
      </c>
      <c r="B17" s="24" t="str">
        <f t="shared" si="1"/>
        <v>II</v>
      </c>
      <c r="C17" s="13">
        <f t="shared" si="2"/>
        <v>55396.498</v>
      </c>
      <c r="D17" s="21" t="str">
        <f t="shared" si="3"/>
        <v>vis</v>
      </c>
      <c r="E17" s="46">
        <f>VLOOKUP(C17,Active!C$21:E$973,3,FALSE)</f>
        <v>16770.764050847942</v>
      </c>
      <c r="F17" s="24" t="s">
        <v>56</v>
      </c>
      <c r="G17" s="21" t="str">
        <f t="shared" si="4"/>
        <v>55396.4980</v>
      </c>
      <c r="H17" s="13">
        <f t="shared" si="5"/>
        <v>659.5</v>
      </c>
      <c r="I17" s="47" t="s">
        <v>189</v>
      </c>
      <c r="J17" s="48" t="s">
        <v>190</v>
      </c>
      <c r="K17" s="47" t="s">
        <v>191</v>
      </c>
      <c r="L17" s="47" t="s">
        <v>192</v>
      </c>
      <c r="M17" s="48" t="s">
        <v>172</v>
      </c>
      <c r="N17" s="48" t="s">
        <v>173</v>
      </c>
      <c r="O17" s="49" t="s">
        <v>146</v>
      </c>
      <c r="P17" s="50" t="s">
        <v>193</v>
      </c>
    </row>
    <row r="18" spans="1:16" ht="12.75" customHeight="1" thickBot="1" x14ac:dyDescent="0.25">
      <c r="A18" s="13" t="str">
        <f t="shared" si="0"/>
        <v>OEJV 0160 </v>
      </c>
      <c r="B18" s="24" t="str">
        <f t="shared" si="1"/>
        <v>II</v>
      </c>
      <c r="C18" s="13">
        <f t="shared" si="2"/>
        <v>55705.470690000002</v>
      </c>
      <c r="D18" s="21" t="str">
        <f t="shared" si="3"/>
        <v>vis</v>
      </c>
      <c r="E18" s="46">
        <f>VLOOKUP(C18,Active!C$21:E$973,3,FALSE)</f>
        <v>17048.769192148226</v>
      </c>
      <c r="F18" s="24" t="s">
        <v>56</v>
      </c>
      <c r="G18" s="21" t="str">
        <f t="shared" si="4"/>
        <v>55705.47069</v>
      </c>
      <c r="H18" s="13">
        <f t="shared" si="5"/>
        <v>937.5</v>
      </c>
      <c r="I18" s="47" t="s">
        <v>194</v>
      </c>
      <c r="J18" s="48" t="s">
        <v>195</v>
      </c>
      <c r="K18" s="47" t="s">
        <v>196</v>
      </c>
      <c r="L18" s="47" t="s">
        <v>197</v>
      </c>
      <c r="M18" s="48" t="s">
        <v>172</v>
      </c>
      <c r="N18" s="48" t="s">
        <v>48</v>
      </c>
      <c r="O18" s="49" t="s">
        <v>198</v>
      </c>
      <c r="P18" s="50" t="s">
        <v>199</v>
      </c>
    </row>
    <row r="19" spans="1:16" ht="12.75" customHeight="1" thickBot="1" x14ac:dyDescent="0.25">
      <c r="A19" s="13" t="str">
        <f t="shared" si="0"/>
        <v>BAVM 231 </v>
      </c>
      <c r="B19" s="24" t="str">
        <f t="shared" si="1"/>
        <v>II</v>
      </c>
      <c r="C19" s="13">
        <f t="shared" si="2"/>
        <v>56094.466699999997</v>
      </c>
      <c r="D19" s="21" t="str">
        <f t="shared" si="3"/>
        <v>vis</v>
      </c>
      <c r="E19" s="46">
        <f>VLOOKUP(C19,Active!C$21:E$973,3,FALSE)</f>
        <v>17398.777119144277</v>
      </c>
      <c r="F19" s="24" t="s">
        <v>56</v>
      </c>
      <c r="G19" s="21" t="str">
        <f t="shared" si="4"/>
        <v>56094.4667</v>
      </c>
      <c r="H19" s="13">
        <f t="shared" si="5"/>
        <v>1287.5</v>
      </c>
      <c r="I19" s="47" t="s">
        <v>200</v>
      </c>
      <c r="J19" s="48" t="s">
        <v>201</v>
      </c>
      <c r="K19" s="47" t="s">
        <v>202</v>
      </c>
      <c r="L19" s="47" t="s">
        <v>203</v>
      </c>
      <c r="M19" s="48" t="s">
        <v>172</v>
      </c>
      <c r="N19" s="48" t="s">
        <v>173</v>
      </c>
      <c r="O19" s="49" t="s">
        <v>146</v>
      </c>
      <c r="P19" s="50" t="s">
        <v>204</v>
      </c>
    </row>
    <row r="20" spans="1:16" ht="12.75" customHeight="1" thickBot="1" x14ac:dyDescent="0.25">
      <c r="A20" s="13" t="str">
        <f t="shared" si="0"/>
        <v> VSS 4.484 </v>
      </c>
      <c r="B20" s="24" t="str">
        <f t="shared" si="1"/>
        <v>I</v>
      </c>
      <c r="C20" s="13">
        <f t="shared" si="2"/>
        <v>26928.417000000001</v>
      </c>
      <c r="D20" s="21" t="str">
        <f t="shared" si="3"/>
        <v>vis</v>
      </c>
      <c r="E20" s="46">
        <f>VLOOKUP(C20,Active!C$21:E$973,3,FALSE)</f>
        <v>-8844.0334283493157</v>
      </c>
      <c r="F20" s="24" t="s">
        <v>56</v>
      </c>
      <c r="G20" s="21" t="str">
        <f t="shared" si="4"/>
        <v>26928.417</v>
      </c>
      <c r="H20" s="13">
        <f t="shared" si="5"/>
        <v>-24955</v>
      </c>
      <c r="I20" s="47" t="s">
        <v>58</v>
      </c>
      <c r="J20" s="48" t="s">
        <v>59</v>
      </c>
      <c r="K20" s="47">
        <v>-24955</v>
      </c>
      <c r="L20" s="47" t="s">
        <v>60</v>
      </c>
      <c r="M20" s="48" t="s">
        <v>61</v>
      </c>
      <c r="N20" s="48"/>
      <c r="O20" s="49" t="s">
        <v>62</v>
      </c>
      <c r="P20" s="49" t="s">
        <v>63</v>
      </c>
    </row>
    <row r="21" spans="1:16" ht="12.75" customHeight="1" thickBot="1" x14ac:dyDescent="0.25">
      <c r="A21" s="13" t="str">
        <f t="shared" si="0"/>
        <v> VSS 4.484 </v>
      </c>
      <c r="B21" s="24" t="str">
        <f t="shared" si="1"/>
        <v>II</v>
      </c>
      <c r="C21" s="13">
        <f t="shared" si="2"/>
        <v>27931.528999999999</v>
      </c>
      <c r="D21" s="21" t="str">
        <f t="shared" si="3"/>
        <v>vis</v>
      </c>
      <c r="E21" s="46">
        <f>VLOOKUP(C21,Active!C$21:E$973,3,FALSE)</f>
        <v>-7941.4607987100908</v>
      </c>
      <c r="F21" s="24" t="s">
        <v>56</v>
      </c>
      <c r="G21" s="21" t="str">
        <f t="shared" si="4"/>
        <v>27931.529</v>
      </c>
      <c r="H21" s="13">
        <f t="shared" si="5"/>
        <v>-24052.5</v>
      </c>
      <c r="I21" s="47" t="s">
        <v>64</v>
      </c>
      <c r="J21" s="48" t="s">
        <v>65</v>
      </c>
      <c r="K21" s="47">
        <v>-24052.5</v>
      </c>
      <c r="L21" s="47" t="s">
        <v>66</v>
      </c>
      <c r="M21" s="48" t="s">
        <v>61</v>
      </c>
      <c r="N21" s="48"/>
      <c r="O21" s="49" t="s">
        <v>62</v>
      </c>
      <c r="P21" s="49" t="s">
        <v>63</v>
      </c>
    </row>
    <row r="22" spans="1:16" ht="12.75" customHeight="1" thickBot="1" x14ac:dyDescent="0.25">
      <c r="A22" s="13" t="str">
        <f t="shared" si="0"/>
        <v> VSS 4.484 </v>
      </c>
      <c r="B22" s="24" t="str">
        <f t="shared" si="1"/>
        <v>I</v>
      </c>
      <c r="C22" s="13">
        <f t="shared" si="2"/>
        <v>28035.416000000001</v>
      </c>
      <c r="D22" s="21" t="str">
        <f t="shared" si="3"/>
        <v>vis</v>
      </c>
      <c r="E22" s="46">
        <f>VLOOKUP(C22,Active!C$21:E$973,3,FALSE)</f>
        <v>-7847.9861291065645</v>
      </c>
      <c r="F22" s="24" t="s">
        <v>56</v>
      </c>
      <c r="G22" s="21" t="str">
        <f t="shared" si="4"/>
        <v>28035.416</v>
      </c>
      <c r="H22" s="13">
        <f t="shared" si="5"/>
        <v>-23959</v>
      </c>
      <c r="I22" s="47" t="s">
        <v>67</v>
      </c>
      <c r="J22" s="48" t="s">
        <v>68</v>
      </c>
      <c r="K22" s="47">
        <v>-23959</v>
      </c>
      <c r="L22" s="47" t="s">
        <v>69</v>
      </c>
      <c r="M22" s="48" t="s">
        <v>61</v>
      </c>
      <c r="N22" s="48"/>
      <c r="O22" s="49" t="s">
        <v>62</v>
      </c>
      <c r="P22" s="49" t="s">
        <v>63</v>
      </c>
    </row>
    <row r="23" spans="1:16" ht="12.75" customHeight="1" thickBot="1" x14ac:dyDescent="0.25">
      <c r="A23" s="13" t="str">
        <f t="shared" si="0"/>
        <v> VSS 4.484 </v>
      </c>
      <c r="B23" s="24" t="str">
        <f t="shared" si="1"/>
        <v>I</v>
      </c>
      <c r="C23" s="13">
        <f t="shared" si="2"/>
        <v>28074.319</v>
      </c>
      <c r="D23" s="21" t="str">
        <f t="shared" si="3"/>
        <v>vis</v>
      </c>
      <c r="E23" s="46">
        <f>VLOOKUP(C23,Active!C$21:E$973,3,FALSE)</f>
        <v>-7812.9822780801051</v>
      </c>
      <c r="F23" s="24" t="s">
        <v>56</v>
      </c>
      <c r="G23" s="21" t="str">
        <f t="shared" si="4"/>
        <v>28074.319</v>
      </c>
      <c r="H23" s="13">
        <f t="shared" si="5"/>
        <v>-23924</v>
      </c>
      <c r="I23" s="47" t="s">
        <v>70</v>
      </c>
      <c r="J23" s="48" t="s">
        <v>71</v>
      </c>
      <c r="K23" s="47">
        <v>-23924</v>
      </c>
      <c r="L23" s="47" t="s">
        <v>72</v>
      </c>
      <c r="M23" s="48" t="s">
        <v>61</v>
      </c>
      <c r="N23" s="48"/>
      <c r="O23" s="49" t="s">
        <v>62</v>
      </c>
      <c r="P23" s="49" t="s">
        <v>63</v>
      </c>
    </row>
    <row r="24" spans="1:16" ht="12.75" customHeight="1" thickBot="1" x14ac:dyDescent="0.25">
      <c r="A24" s="13" t="str">
        <f t="shared" si="0"/>
        <v> VSS 4.484 </v>
      </c>
      <c r="B24" s="24" t="str">
        <f t="shared" si="1"/>
        <v>I</v>
      </c>
      <c r="C24" s="13">
        <f t="shared" si="2"/>
        <v>28286.58</v>
      </c>
      <c r="D24" s="21" t="str">
        <f t="shared" si="3"/>
        <v>vis</v>
      </c>
      <c r="E24" s="46">
        <f>VLOOKUP(C24,Active!C$21:E$973,3,FALSE)</f>
        <v>-7621.9956594972809</v>
      </c>
      <c r="F24" s="24" t="s">
        <v>56</v>
      </c>
      <c r="G24" s="21" t="str">
        <f t="shared" si="4"/>
        <v>28286.580</v>
      </c>
      <c r="H24" s="13">
        <f t="shared" si="5"/>
        <v>-23733</v>
      </c>
      <c r="I24" s="47" t="s">
        <v>73</v>
      </c>
      <c r="J24" s="48" t="s">
        <v>74</v>
      </c>
      <c r="K24" s="47">
        <v>-23733</v>
      </c>
      <c r="L24" s="47" t="s">
        <v>75</v>
      </c>
      <c r="M24" s="48" t="s">
        <v>61</v>
      </c>
      <c r="N24" s="48"/>
      <c r="O24" s="49" t="s">
        <v>62</v>
      </c>
      <c r="P24" s="49" t="s">
        <v>63</v>
      </c>
    </row>
    <row r="25" spans="1:16" ht="12.75" customHeight="1" thickBot="1" x14ac:dyDescent="0.25">
      <c r="A25" s="13" t="str">
        <f t="shared" si="0"/>
        <v> VSS 4.484 </v>
      </c>
      <c r="B25" s="24" t="str">
        <f t="shared" si="1"/>
        <v>II</v>
      </c>
      <c r="C25" s="13">
        <f t="shared" si="2"/>
        <v>28340.473999999998</v>
      </c>
      <c r="D25" s="21" t="str">
        <f t="shared" si="3"/>
        <v>vis</v>
      </c>
      <c r="E25" s="46">
        <f>VLOOKUP(C25,Active!C$21:E$973,3,FALSE)</f>
        <v>-7573.5033183611231</v>
      </c>
      <c r="F25" s="24" t="s">
        <v>56</v>
      </c>
      <c r="G25" s="21" t="str">
        <f t="shared" si="4"/>
        <v>28340.474</v>
      </c>
      <c r="H25" s="13">
        <f t="shared" si="5"/>
        <v>-23684.5</v>
      </c>
      <c r="I25" s="47" t="s">
        <v>76</v>
      </c>
      <c r="J25" s="48" t="s">
        <v>77</v>
      </c>
      <c r="K25" s="47">
        <v>-23684.5</v>
      </c>
      <c r="L25" s="47" t="s">
        <v>78</v>
      </c>
      <c r="M25" s="48" t="s">
        <v>61</v>
      </c>
      <c r="N25" s="48"/>
      <c r="O25" s="49" t="s">
        <v>62</v>
      </c>
      <c r="P25" s="49" t="s">
        <v>63</v>
      </c>
    </row>
    <row r="26" spans="1:16" ht="12.75" customHeight="1" thickBot="1" x14ac:dyDescent="0.25">
      <c r="A26" s="13" t="str">
        <f t="shared" si="0"/>
        <v> VSS 4.484 </v>
      </c>
      <c r="B26" s="24" t="str">
        <f t="shared" si="1"/>
        <v>II</v>
      </c>
      <c r="C26" s="13">
        <f t="shared" si="2"/>
        <v>28429.334999999999</v>
      </c>
      <c r="D26" s="21" t="str">
        <f t="shared" si="3"/>
        <v>vis</v>
      </c>
      <c r="E26" s="46">
        <f>VLOOKUP(C26,Active!C$21:E$973,3,FALSE)</f>
        <v>-7493.5486309061107</v>
      </c>
      <c r="F26" s="24" t="s">
        <v>56</v>
      </c>
      <c r="G26" s="21" t="str">
        <f t="shared" si="4"/>
        <v>28429.335</v>
      </c>
      <c r="H26" s="13">
        <f t="shared" si="5"/>
        <v>-23604.5</v>
      </c>
      <c r="I26" s="47" t="s">
        <v>79</v>
      </c>
      <c r="J26" s="48" t="s">
        <v>80</v>
      </c>
      <c r="K26" s="47">
        <v>-23604.5</v>
      </c>
      <c r="L26" s="47" t="s">
        <v>81</v>
      </c>
      <c r="M26" s="48" t="s">
        <v>61</v>
      </c>
      <c r="N26" s="48"/>
      <c r="O26" s="49" t="s">
        <v>62</v>
      </c>
      <c r="P26" s="49" t="s">
        <v>63</v>
      </c>
    </row>
    <row r="27" spans="1:16" ht="12.75" customHeight="1" thickBot="1" x14ac:dyDescent="0.25">
      <c r="A27" s="13" t="str">
        <f t="shared" si="0"/>
        <v> VSS 4.484 </v>
      </c>
      <c r="B27" s="24" t="str">
        <f t="shared" si="1"/>
        <v>I</v>
      </c>
      <c r="C27" s="13">
        <f t="shared" si="2"/>
        <v>29162.321</v>
      </c>
      <c r="D27" s="21" t="str">
        <f t="shared" si="3"/>
        <v>vis</v>
      </c>
      <c r="E27" s="46">
        <f>VLOOKUP(C27,Active!C$21:E$973,3,FALSE)</f>
        <v>-6834.027957732289</v>
      </c>
      <c r="F27" s="24" t="s">
        <v>56</v>
      </c>
      <c r="G27" s="21" t="str">
        <f t="shared" si="4"/>
        <v>29162.321</v>
      </c>
      <c r="H27" s="13">
        <f t="shared" si="5"/>
        <v>-22945</v>
      </c>
      <c r="I27" s="47" t="s">
        <v>82</v>
      </c>
      <c r="J27" s="48" t="s">
        <v>83</v>
      </c>
      <c r="K27" s="47">
        <v>-22945</v>
      </c>
      <c r="L27" s="47" t="s">
        <v>84</v>
      </c>
      <c r="M27" s="48" t="s">
        <v>61</v>
      </c>
      <c r="N27" s="48"/>
      <c r="O27" s="49" t="s">
        <v>62</v>
      </c>
      <c r="P27" s="49" t="s">
        <v>63</v>
      </c>
    </row>
    <row r="28" spans="1:16" ht="12.75" customHeight="1" thickBot="1" x14ac:dyDescent="0.25">
      <c r="A28" s="13" t="str">
        <f t="shared" si="0"/>
        <v> VSS 4.484 </v>
      </c>
      <c r="B28" s="24" t="str">
        <f t="shared" si="1"/>
        <v>I</v>
      </c>
      <c r="C28" s="13">
        <f t="shared" si="2"/>
        <v>29541.312999999998</v>
      </c>
      <c r="D28" s="21" t="str">
        <f t="shared" si="3"/>
        <v>vis</v>
      </c>
      <c r="E28" s="46">
        <f>VLOOKUP(C28,Active!C$21:E$973,3,FALSE)</f>
        <v>-6493.021364199135</v>
      </c>
      <c r="F28" s="24" t="s">
        <v>56</v>
      </c>
      <c r="G28" s="21" t="str">
        <f t="shared" si="4"/>
        <v>29541.313</v>
      </c>
      <c r="H28" s="13">
        <f t="shared" si="5"/>
        <v>-22604</v>
      </c>
      <c r="I28" s="47" t="s">
        <v>85</v>
      </c>
      <c r="J28" s="48" t="s">
        <v>86</v>
      </c>
      <c r="K28" s="47">
        <v>-22604</v>
      </c>
      <c r="L28" s="47" t="s">
        <v>87</v>
      </c>
      <c r="M28" s="48" t="s">
        <v>61</v>
      </c>
      <c r="N28" s="48"/>
      <c r="O28" s="49" t="s">
        <v>62</v>
      </c>
      <c r="P28" s="49" t="s">
        <v>63</v>
      </c>
    </row>
    <row r="29" spans="1:16" ht="12.75" customHeight="1" thickBot="1" x14ac:dyDescent="0.25">
      <c r="A29" s="13" t="str">
        <f t="shared" si="0"/>
        <v> VSS 4.484 </v>
      </c>
      <c r="B29" s="24" t="str">
        <f t="shared" si="1"/>
        <v>I</v>
      </c>
      <c r="C29" s="13">
        <f t="shared" si="2"/>
        <v>30958.382000000001</v>
      </c>
      <c r="D29" s="21" t="str">
        <f t="shared" si="3"/>
        <v>vis</v>
      </c>
      <c r="E29" s="46">
        <f>VLOOKUP(C29,Active!C$21:E$973,3,FALSE)</f>
        <v>-5217.9815942529749</v>
      </c>
      <c r="F29" s="24" t="s">
        <v>56</v>
      </c>
      <c r="G29" s="21" t="str">
        <f t="shared" si="4"/>
        <v>30958.382</v>
      </c>
      <c r="H29" s="13">
        <f t="shared" si="5"/>
        <v>-21329</v>
      </c>
      <c r="I29" s="47" t="s">
        <v>88</v>
      </c>
      <c r="J29" s="48" t="s">
        <v>89</v>
      </c>
      <c r="K29" s="47">
        <v>-21329</v>
      </c>
      <c r="L29" s="47" t="s">
        <v>60</v>
      </c>
      <c r="M29" s="48" t="s">
        <v>61</v>
      </c>
      <c r="N29" s="48"/>
      <c r="O29" s="49" t="s">
        <v>62</v>
      </c>
      <c r="P29" s="49" t="s">
        <v>63</v>
      </c>
    </row>
    <row r="30" spans="1:16" ht="12.75" customHeight="1" thickBot="1" x14ac:dyDescent="0.25">
      <c r="A30" s="13" t="str">
        <f t="shared" si="0"/>
        <v> VSS 4.484 </v>
      </c>
      <c r="B30" s="24" t="str">
        <f t="shared" si="1"/>
        <v>I</v>
      </c>
      <c r="C30" s="13">
        <f t="shared" si="2"/>
        <v>31318.464</v>
      </c>
      <c r="D30" s="21" t="str">
        <f t="shared" si="3"/>
        <v>vis</v>
      </c>
      <c r="E30" s="46">
        <f>VLOOKUP(C30,Active!C$21:E$973,3,FALSE)</f>
        <v>-4893.9896994039937</v>
      </c>
      <c r="F30" s="24" t="s">
        <v>56</v>
      </c>
      <c r="G30" s="21" t="str">
        <f t="shared" si="4"/>
        <v>31318.464</v>
      </c>
      <c r="H30" s="13">
        <f t="shared" si="5"/>
        <v>-21005</v>
      </c>
      <c r="I30" s="47" t="s">
        <v>90</v>
      </c>
      <c r="J30" s="48" t="s">
        <v>91</v>
      </c>
      <c r="K30" s="47">
        <v>-21005</v>
      </c>
      <c r="L30" s="47" t="s">
        <v>92</v>
      </c>
      <c r="M30" s="48" t="s">
        <v>61</v>
      </c>
      <c r="N30" s="48"/>
      <c r="O30" s="49" t="s">
        <v>62</v>
      </c>
      <c r="P30" s="49" t="s">
        <v>63</v>
      </c>
    </row>
    <row r="31" spans="1:16" ht="12.75" customHeight="1" thickBot="1" x14ac:dyDescent="0.25">
      <c r="A31" s="13" t="str">
        <f t="shared" si="0"/>
        <v> VSS 4.484 </v>
      </c>
      <c r="B31" s="24" t="str">
        <f t="shared" si="1"/>
        <v>I</v>
      </c>
      <c r="C31" s="13">
        <f t="shared" si="2"/>
        <v>34152.523000000001</v>
      </c>
      <c r="D31" s="21" t="str">
        <f t="shared" si="3"/>
        <v>vis</v>
      </c>
      <c r="E31" s="46">
        <f>VLOOKUP(C31,Active!C$21:E$973,3,FALSE)</f>
        <v>-2343.9812415421402</v>
      </c>
      <c r="F31" s="24" t="s">
        <v>56</v>
      </c>
      <c r="G31" s="21" t="str">
        <f t="shared" si="4"/>
        <v>34152.523</v>
      </c>
      <c r="H31" s="13">
        <f t="shared" si="5"/>
        <v>-18455</v>
      </c>
      <c r="I31" s="47" t="s">
        <v>93</v>
      </c>
      <c r="J31" s="48" t="s">
        <v>94</v>
      </c>
      <c r="K31" s="47">
        <v>-18455</v>
      </c>
      <c r="L31" s="47" t="s">
        <v>95</v>
      </c>
      <c r="M31" s="48" t="s">
        <v>61</v>
      </c>
      <c r="N31" s="48"/>
      <c r="O31" s="49" t="s">
        <v>62</v>
      </c>
      <c r="P31" s="49" t="s">
        <v>63</v>
      </c>
    </row>
    <row r="32" spans="1:16" ht="12.75" customHeight="1" thickBot="1" x14ac:dyDescent="0.25">
      <c r="A32" s="13" t="str">
        <f t="shared" si="0"/>
        <v> VSS 4.484 </v>
      </c>
      <c r="B32" s="24" t="str">
        <f t="shared" si="1"/>
        <v>I</v>
      </c>
      <c r="C32" s="13">
        <f t="shared" si="2"/>
        <v>34191.447</v>
      </c>
      <c r="D32" s="21" t="str">
        <f t="shared" si="3"/>
        <v>vis</v>
      </c>
      <c r="E32" s="46">
        <f>VLOOKUP(C32,Active!C$21:E$973,3,FALSE)</f>
        <v>-2308.9584952923929</v>
      </c>
      <c r="F32" s="24" t="s">
        <v>56</v>
      </c>
      <c r="G32" s="21" t="str">
        <f t="shared" si="4"/>
        <v>34191.447</v>
      </c>
      <c r="H32" s="13">
        <f t="shared" si="5"/>
        <v>-18420</v>
      </c>
      <c r="I32" s="47" t="s">
        <v>96</v>
      </c>
      <c r="J32" s="48" t="s">
        <v>97</v>
      </c>
      <c r="K32" s="47">
        <v>-18420</v>
      </c>
      <c r="L32" s="47" t="s">
        <v>98</v>
      </c>
      <c r="M32" s="48" t="s">
        <v>61</v>
      </c>
      <c r="N32" s="48"/>
      <c r="O32" s="49" t="s">
        <v>62</v>
      </c>
      <c r="P32" s="49" t="s">
        <v>63</v>
      </c>
    </row>
    <row r="33" spans="1:16" ht="12.75" customHeight="1" thickBot="1" x14ac:dyDescent="0.25">
      <c r="A33" s="13" t="str">
        <f t="shared" si="0"/>
        <v> VSS 4.484 </v>
      </c>
      <c r="B33" s="24" t="str">
        <f t="shared" si="1"/>
        <v>I</v>
      </c>
      <c r="C33" s="13">
        <f t="shared" si="2"/>
        <v>34192.491999999998</v>
      </c>
      <c r="D33" s="21" t="str">
        <f t="shared" si="3"/>
        <v>vis</v>
      </c>
      <c r="E33" s="46">
        <f>VLOOKUP(C33,Active!C$21:E$973,3,FALSE)</f>
        <v>-2308.0182329907043</v>
      </c>
      <c r="F33" s="24" t="s">
        <v>56</v>
      </c>
      <c r="G33" s="21" t="str">
        <f t="shared" si="4"/>
        <v>34192.492</v>
      </c>
      <c r="H33" s="13">
        <f t="shared" si="5"/>
        <v>-18419</v>
      </c>
      <c r="I33" s="47" t="s">
        <v>99</v>
      </c>
      <c r="J33" s="48" t="s">
        <v>100</v>
      </c>
      <c r="K33" s="47">
        <v>-18419</v>
      </c>
      <c r="L33" s="47" t="s">
        <v>101</v>
      </c>
      <c r="M33" s="48" t="s">
        <v>61</v>
      </c>
      <c r="N33" s="48"/>
      <c r="O33" s="49" t="s">
        <v>62</v>
      </c>
      <c r="P33" s="49" t="s">
        <v>63</v>
      </c>
    </row>
    <row r="34" spans="1:16" ht="12.75" customHeight="1" thickBot="1" x14ac:dyDescent="0.25">
      <c r="A34" s="13" t="str">
        <f t="shared" si="0"/>
        <v> VSS 4.484 </v>
      </c>
      <c r="B34" s="24" t="str">
        <f t="shared" si="1"/>
        <v>I</v>
      </c>
      <c r="C34" s="13">
        <f t="shared" si="2"/>
        <v>34211.434000000001</v>
      </c>
      <c r="D34" s="21" t="str">
        <f t="shared" si="3"/>
        <v>vis</v>
      </c>
      <c r="E34" s="46">
        <f>VLOOKUP(C34,Active!C$21:E$973,3,FALSE)</f>
        <v>-2290.9747415853294</v>
      </c>
      <c r="F34" s="24" t="s">
        <v>56</v>
      </c>
      <c r="G34" s="21" t="str">
        <f t="shared" si="4"/>
        <v>34211.434</v>
      </c>
      <c r="H34" s="13">
        <f t="shared" si="5"/>
        <v>-18402</v>
      </c>
      <c r="I34" s="47" t="s">
        <v>102</v>
      </c>
      <c r="J34" s="48" t="s">
        <v>103</v>
      </c>
      <c r="K34" s="47">
        <v>-18402</v>
      </c>
      <c r="L34" s="47" t="s">
        <v>104</v>
      </c>
      <c r="M34" s="48" t="s">
        <v>61</v>
      </c>
      <c r="N34" s="48"/>
      <c r="O34" s="49" t="s">
        <v>62</v>
      </c>
      <c r="P34" s="49" t="s">
        <v>63</v>
      </c>
    </row>
    <row r="35" spans="1:16" ht="12.75" customHeight="1" thickBot="1" x14ac:dyDescent="0.25">
      <c r="A35" s="13" t="str">
        <f t="shared" si="0"/>
        <v> VSS 4.484 </v>
      </c>
      <c r="B35" s="24" t="str">
        <f t="shared" si="1"/>
        <v>I</v>
      </c>
      <c r="C35" s="13">
        <f t="shared" si="2"/>
        <v>36755.379999999997</v>
      </c>
      <c r="D35" s="21" t="str">
        <f t="shared" si="3"/>
        <v>vis</v>
      </c>
      <c r="E35" s="46">
        <f>VLOOKUP(C35,Active!C$21:E$973,3,FALSE)</f>
        <v>-2.0019938959483432</v>
      </c>
      <c r="F35" s="24" t="s">
        <v>56</v>
      </c>
      <c r="G35" s="21" t="str">
        <f t="shared" si="4"/>
        <v>36755.380</v>
      </c>
      <c r="H35" s="13">
        <f t="shared" si="5"/>
        <v>-16113</v>
      </c>
      <c r="I35" s="47" t="s">
        <v>105</v>
      </c>
      <c r="J35" s="48" t="s">
        <v>106</v>
      </c>
      <c r="K35" s="47">
        <v>-16113</v>
      </c>
      <c r="L35" s="47" t="s">
        <v>107</v>
      </c>
      <c r="M35" s="48" t="s">
        <v>108</v>
      </c>
      <c r="N35" s="48"/>
      <c r="O35" s="49" t="s">
        <v>62</v>
      </c>
      <c r="P35" s="49" t="s">
        <v>63</v>
      </c>
    </row>
    <row r="36" spans="1:16" ht="12.75" customHeight="1" thickBot="1" x14ac:dyDescent="0.25">
      <c r="A36" s="13" t="str">
        <f t="shared" si="0"/>
        <v> VSS 4.484 </v>
      </c>
      <c r="B36" s="24" t="str">
        <f t="shared" si="1"/>
        <v>I</v>
      </c>
      <c r="C36" s="13">
        <f t="shared" si="2"/>
        <v>36757.616000000002</v>
      </c>
      <c r="D36" s="21" t="str">
        <f t="shared" si="3"/>
        <v>vis</v>
      </c>
      <c r="E36" s="46">
        <f>VLOOKUP(C36,Active!C$21:E$973,3,FALSE)</f>
        <v>9.8974979112707463E-3</v>
      </c>
      <c r="F36" s="24" t="s">
        <v>56</v>
      </c>
      <c r="G36" s="21" t="str">
        <f t="shared" si="4"/>
        <v>36757.616</v>
      </c>
      <c r="H36" s="13">
        <f t="shared" si="5"/>
        <v>-16111</v>
      </c>
      <c r="I36" s="47" t="s">
        <v>109</v>
      </c>
      <c r="J36" s="48" t="s">
        <v>110</v>
      </c>
      <c r="K36" s="47">
        <v>-16111</v>
      </c>
      <c r="L36" s="47" t="s">
        <v>111</v>
      </c>
      <c r="M36" s="48" t="s">
        <v>108</v>
      </c>
      <c r="N36" s="48"/>
      <c r="O36" s="49" t="s">
        <v>62</v>
      </c>
      <c r="P36" s="49" t="s">
        <v>63</v>
      </c>
    </row>
    <row r="37" spans="1:16" ht="12.75" customHeight="1" thickBot="1" x14ac:dyDescent="0.25">
      <c r="A37" s="13" t="str">
        <f t="shared" si="0"/>
        <v> VSS 4.484 </v>
      </c>
      <c r="B37" s="24" t="str">
        <f t="shared" si="1"/>
        <v>II</v>
      </c>
      <c r="C37" s="13">
        <f t="shared" si="2"/>
        <v>36760.370000000003</v>
      </c>
      <c r="D37" s="21" t="str">
        <f t="shared" si="3"/>
        <v>vis</v>
      </c>
      <c r="E37" s="46">
        <f>VLOOKUP(C37,Active!C$21:E$973,3,FALSE)</f>
        <v>2.4878710661939425</v>
      </c>
      <c r="F37" s="24" t="s">
        <v>56</v>
      </c>
      <c r="G37" s="21" t="str">
        <f t="shared" si="4"/>
        <v>36760.370</v>
      </c>
      <c r="H37" s="13">
        <f t="shared" si="5"/>
        <v>-16108.5</v>
      </c>
      <c r="I37" s="47" t="s">
        <v>112</v>
      </c>
      <c r="J37" s="48" t="s">
        <v>113</v>
      </c>
      <c r="K37" s="47">
        <v>-16108.5</v>
      </c>
      <c r="L37" s="47" t="s">
        <v>114</v>
      </c>
      <c r="M37" s="48" t="s">
        <v>108</v>
      </c>
      <c r="N37" s="48"/>
      <c r="O37" s="49" t="s">
        <v>62</v>
      </c>
      <c r="P37" s="49" t="s">
        <v>63</v>
      </c>
    </row>
    <row r="38" spans="1:16" ht="12.75" customHeight="1" thickBot="1" x14ac:dyDescent="0.25">
      <c r="A38" s="13" t="str">
        <f t="shared" si="0"/>
        <v> VSS 4.484 </v>
      </c>
      <c r="B38" s="24" t="str">
        <f t="shared" si="1"/>
        <v>I</v>
      </c>
      <c r="C38" s="13">
        <f t="shared" si="2"/>
        <v>36775.39</v>
      </c>
      <c r="D38" s="21" t="str">
        <f t="shared" si="3"/>
        <v>vis</v>
      </c>
      <c r="E38" s="46">
        <f>VLOOKUP(C38,Active!C$21:E$973,3,FALSE)</f>
        <v>16.002454579478904</v>
      </c>
      <c r="F38" s="24" t="s">
        <v>56</v>
      </c>
      <c r="G38" s="21" t="str">
        <f t="shared" si="4"/>
        <v>36775.390</v>
      </c>
      <c r="H38" s="13">
        <f t="shared" si="5"/>
        <v>-16095</v>
      </c>
      <c r="I38" s="47" t="s">
        <v>115</v>
      </c>
      <c r="J38" s="48" t="s">
        <v>116</v>
      </c>
      <c r="K38" s="47">
        <v>-16095</v>
      </c>
      <c r="L38" s="47" t="s">
        <v>117</v>
      </c>
      <c r="M38" s="48" t="s">
        <v>108</v>
      </c>
      <c r="N38" s="48"/>
      <c r="O38" s="49" t="s">
        <v>62</v>
      </c>
      <c r="P38" s="49" t="s">
        <v>63</v>
      </c>
    </row>
    <row r="39" spans="1:16" ht="12.75" customHeight="1" thickBot="1" x14ac:dyDescent="0.25">
      <c r="A39" s="13" t="str">
        <f t="shared" si="0"/>
        <v> VSS 4.484 </v>
      </c>
      <c r="B39" s="24" t="str">
        <f t="shared" si="1"/>
        <v>II</v>
      </c>
      <c r="C39" s="13">
        <f t="shared" si="2"/>
        <v>36780.379999999997</v>
      </c>
      <c r="D39" s="21" t="str">
        <f t="shared" si="3"/>
        <v>vis</v>
      </c>
      <c r="E39" s="46">
        <f>VLOOKUP(C39,Active!C$21:E$973,3,FALSE)</f>
        <v>20.492319541614641</v>
      </c>
      <c r="F39" s="24" t="s">
        <v>56</v>
      </c>
      <c r="G39" s="21" t="str">
        <f t="shared" si="4"/>
        <v>36780.380</v>
      </c>
      <c r="H39" s="13">
        <f t="shared" si="5"/>
        <v>-16090.5</v>
      </c>
      <c r="I39" s="47" t="s">
        <v>118</v>
      </c>
      <c r="J39" s="48" t="s">
        <v>119</v>
      </c>
      <c r="K39" s="47">
        <v>-16090.5</v>
      </c>
      <c r="L39" s="47" t="s">
        <v>120</v>
      </c>
      <c r="M39" s="48" t="s">
        <v>108</v>
      </c>
      <c r="N39" s="48"/>
      <c r="O39" s="49" t="s">
        <v>62</v>
      </c>
      <c r="P39" s="49" t="s">
        <v>63</v>
      </c>
    </row>
    <row r="40" spans="1:16" ht="12.75" customHeight="1" thickBot="1" x14ac:dyDescent="0.25">
      <c r="A40" s="13" t="str">
        <f t="shared" si="0"/>
        <v> VSS 4.484 </v>
      </c>
      <c r="B40" s="24" t="str">
        <f t="shared" si="1"/>
        <v>I</v>
      </c>
      <c r="C40" s="13">
        <f t="shared" si="2"/>
        <v>36795.409</v>
      </c>
      <c r="D40" s="21" t="str">
        <f t="shared" si="3"/>
        <v>vis</v>
      </c>
      <c r="E40" s="46">
        <f>VLOOKUP(C40,Active!C$21:E$973,3,FALSE)</f>
        <v>34.01500100774205</v>
      </c>
      <c r="F40" s="24" t="s">
        <v>56</v>
      </c>
      <c r="G40" s="21" t="str">
        <f t="shared" si="4"/>
        <v>36795.409</v>
      </c>
      <c r="H40" s="13">
        <f t="shared" si="5"/>
        <v>-16077</v>
      </c>
      <c r="I40" s="47" t="s">
        <v>121</v>
      </c>
      <c r="J40" s="48" t="s">
        <v>122</v>
      </c>
      <c r="K40" s="47">
        <v>-16077</v>
      </c>
      <c r="L40" s="47" t="s">
        <v>101</v>
      </c>
      <c r="M40" s="48" t="s">
        <v>108</v>
      </c>
      <c r="N40" s="48"/>
      <c r="O40" s="49" t="s">
        <v>62</v>
      </c>
      <c r="P40" s="49" t="s">
        <v>63</v>
      </c>
    </row>
    <row r="41" spans="1:16" ht="12.75" customHeight="1" thickBot="1" x14ac:dyDescent="0.25">
      <c r="A41" s="13" t="str">
        <f t="shared" si="0"/>
        <v> VSS 4.484 </v>
      </c>
      <c r="B41" s="24" t="str">
        <f t="shared" si="1"/>
        <v>II</v>
      </c>
      <c r="C41" s="13">
        <f t="shared" si="2"/>
        <v>36820.43</v>
      </c>
      <c r="D41" s="21" t="str">
        <f t="shared" si="3"/>
        <v>vis</v>
      </c>
      <c r="E41" s="46">
        <f>VLOOKUP(C41,Active!C$21:E$973,3,FALSE)</f>
        <v>56.528209668593163</v>
      </c>
      <c r="F41" s="24" t="s">
        <v>56</v>
      </c>
      <c r="G41" s="21" t="str">
        <f t="shared" si="4"/>
        <v>36820.430</v>
      </c>
      <c r="H41" s="13">
        <f t="shared" si="5"/>
        <v>-16054.5</v>
      </c>
      <c r="I41" s="47" t="s">
        <v>123</v>
      </c>
      <c r="J41" s="48" t="s">
        <v>124</v>
      </c>
      <c r="K41" s="47">
        <v>-16054.5</v>
      </c>
      <c r="L41" s="47" t="s">
        <v>125</v>
      </c>
      <c r="M41" s="48" t="s">
        <v>108</v>
      </c>
      <c r="N41" s="48"/>
      <c r="O41" s="49" t="s">
        <v>62</v>
      </c>
      <c r="P41" s="49" t="s">
        <v>63</v>
      </c>
    </row>
    <row r="42" spans="1:16" ht="12.75" customHeight="1" thickBot="1" x14ac:dyDescent="0.25">
      <c r="A42" s="13" t="str">
        <f t="shared" si="0"/>
        <v> VSS 4.484 </v>
      </c>
      <c r="B42" s="24" t="str">
        <f t="shared" si="1"/>
        <v>II</v>
      </c>
      <c r="C42" s="13">
        <f t="shared" si="2"/>
        <v>36821.483999999997</v>
      </c>
      <c r="D42" s="21" t="str">
        <f t="shared" si="3"/>
        <v>vis</v>
      </c>
      <c r="E42" s="46">
        <f>VLOOKUP(C42,Active!C$21:E$973,3,FALSE)</f>
        <v>57.476569923117623</v>
      </c>
      <c r="F42" s="24" t="s">
        <v>56</v>
      </c>
      <c r="G42" s="21" t="str">
        <f t="shared" si="4"/>
        <v>36821.484</v>
      </c>
      <c r="H42" s="13">
        <f t="shared" si="5"/>
        <v>-16053.5</v>
      </c>
      <c r="I42" s="47" t="s">
        <v>126</v>
      </c>
      <c r="J42" s="48" t="s">
        <v>127</v>
      </c>
      <c r="K42" s="47">
        <v>-16053.5</v>
      </c>
      <c r="L42" s="47" t="s">
        <v>128</v>
      </c>
      <c r="M42" s="48" t="s">
        <v>108</v>
      </c>
      <c r="N42" s="48"/>
      <c r="O42" s="49" t="s">
        <v>62</v>
      </c>
      <c r="P42" s="49" t="s">
        <v>63</v>
      </c>
    </row>
    <row r="43" spans="1:16" ht="12.75" customHeight="1" thickBot="1" x14ac:dyDescent="0.25">
      <c r="A43" s="13" t="str">
        <f t="shared" si="0"/>
        <v> VSS 4.484 </v>
      </c>
      <c r="B43" s="24" t="str">
        <f t="shared" si="1"/>
        <v>II</v>
      </c>
      <c r="C43" s="13">
        <f t="shared" si="2"/>
        <v>36822.61</v>
      </c>
      <c r="D43" s="21" t="str">
        <f t="shared" si="3"/>
        <v>vis</v>
      </c>
      <c r="E43" s="46">
        <f>VLOOKUP(C43,Active!C$21:E$973,3,FALSE)</f>
        <v>58.489713800348916</v>
      </c>
      <c r="F43" s="24" t="s">
        <v>56</v>
      </c>
      <c r="G43" s="21" t="str">
        <f t="shared" si="4"/>
        <v>36822.610</v>
      </c>
      <c r="H43" s="13">
        <f t="shared" si="5"/>
        <v>-16052.5</v>
      </c>
      <c r="I43" s="47" t="s">
        <v>129</v>
      </c>
      <c r="J43" s="48" t="s">
        <v>130</v>
      </c>
      <c r="K43" s="47">
        <v>-16052.5</v>
      </c>
      <c r="L43" s="47" t="s">
        <v>131</v>
      </c>
      <c r="M43" s="48" t="s">
        <v>108</v>
      </c>
      <c r="N43" s="48"/>
      <c r="O43" s="49" t="s">
        <v>62</v>
      </c>
      <c r="P43" s="49" t="s">
        <v>63</v>
      </c>
    </row>
    <row r="44" spans="1:16" ht="12.75" customHeight="1" thickBot="1" x14ac:dyDescent="0.25">
      <c r="A44" s="13" t="str">
        <f t="shared" si="0"/>
        <v> VSS 4.484 </v>
      </c>
      <c r="B44" s="24" t="str">
        <f t="shared" si="1"/>
        <v>II</v>
      </c>
      <c r="C44" s="13">
        <f t="shared" si="2"/>
        <v>36849.305999999997</v>
      </c>
      <c r="D44" s="21" t="str">
        <f t="shared" si="3"/>
        <v>vis</v>
      </c>
      <c r="E44" s="46">
        <f>VLOOKUP(C44,Active!C$21:E$973,3,FALSE)</f>
        <v>82.510041461512827</v>
      </c>
      <c r="F44" s="24" t="s">
        <v>56</v>
      </c>
      <c r="G44" s="21" t="str">
        <f t="shared" si="4"/>
        <v>36849.306</v>
      </c>
      <c r="H44" s="13">
        <f t="shared" si="5"/>
        <v>-16028.5</v>
      </c>
      <c r="I44" s="47" t="s">
        <v>132</v>
      </c>
      <c r="J44" s="48" t="s">
        <v>133</v>
      </c>
      <c r="K44" s="47">
        <v>-16028.5</v>
      </c>
      <c r="L44" s="47" t="s">
        <v>134</v>
      </c>
      <c r="M44" s="48" t="s">
        <v>108</v>
      </c>
      <c r="N44" s="48"/>
      <c r="O44" s="49" t="s">
        <v>62</v>
      </c>
      <c r="P44" s="49" t="s">
        <v>63</v>
      </c>
    </row>
    <row r="45" spans="1:16" ht="12.75" customHeight="1" thickBot="1" x14ac:dyDescent="0.25">
      <c r="A45" s="13" t="str">
        <f t="shared" si="0"/>
        <v> VSS 4.484 </v>
      </c>
      <c r="B45" s="24" t="str">
        <f t="shared" si="1"/>
        <v>II</v>
      </c>
      <c r="C45" s="13">
        <f t="shared" si="2"/>
        <v>36850.383999999998</v>
      </c>
      <c r="D45" s="21" t="str">
        <f t="shared" si="3"/>
        <v>vis</v>
      </c>
      <c r="E45" s="46">
        <f>VLOOKUP(C45,Active!C$21:E$973,3,FALSE)</f>
        <v>83.479996256941746</v>
      </c>
      <c r="F45" s="24" t="s">
        <v>56</v>
      </c>
      <c r="G45" s="21" t="str">
        <f t="shared" si="4"/>
        <v>36850.384</v>
      </c>
      <c r="H45" s="13">
        <f t="shared" si="5"/>
        <v>-16027.5</v>
      </c>
      <c r="I45" s="47" t="s">
        <v>135</v>
      </c>
      <c r="J45" s="48" t="s">
        <v>136</v>
      </c>
      <c r="K45" s="47">
        <v>-16027.5</v>
      </c>
      <c r="L45" s="47" t="s">
        <v>137</v>
      </c>
      <c r="M45" s="48" t="s">
        <v>108</v>
      </c>
      <c r="N45" s="48"/>
      <c r="O45" s="49" t="s">
        <v>62</v>
      </c>
      <c r="P45" s="49" t="s">
        <v>63</v>
      </c>
    </row>
    <row r="46" spans="1:16" ht="12.75" customHeight="1" thickBot="1" x14ac:dyDescent="0.25">
      <c r="A46" s="13" t="str">
        <f t="shared" si="0"/>
        <v> VSS 4.484 </v>
      </c>
      <c r="B46" s="24" t="str">
        <f t="shared" si="1"/>
        <v>I</v>
      </c>
      <c r="C46" s="13">
        <f t="shared" si="2"/>
        <v>36876.476000000002</v>
      </c>
      <c r="D46" s="21" t="str">
        <f t="shared" si="3"/>
        <v>vis</v>
      </c>
      <c r="E46" s="46">
        <f>VLOOKUP(C46,Active!C$21:E$973,3,FALSE)</f>
        <v>106.95686130546125</v>
      </c>
      <c r="F46" s="24" t="s">
        <v>56</v>
      </c>
      <c r="G46" s="21" t="str">
        <f t="shared" si="4"/>
        <v>36876.476</v>
      </c>
      <c r="H46" s="13">
        <f t="shared" si="5"/>
        <v>-16004</v>
      </c>
      <c r="I46" s="47" t="s">
        <v>138</v>
      </c>
      <c r="J46" s="48" t="s">
        <v>139</v>
      </c>
      <c r="K46" s="47">
        <v>-16004</v>
      </c>
      <c r="L46" s="47" t="s">
        <v>140</v>
      </c>
      <c r="M46" s="48" t="s">
        <v>108</v>
      </c>
      <c r="N46" s="48"/>
      <c r="O46" s="49" t="s">
        <v>62</v>
      </c>
      <c r="P46" s="49" t="s">
        <v>63</v>
      </c>
    </row>
    <row r="47" spans="1:16" ht="12.75" customHeight="1" thickBot="1" x14ac:dyDescent="0.25">
      <c r="A47" s="13" t="str">
        <f t="shared" si="0"/>
        <v> BBS 120 </v>
      </c>
      <c r="B47" s="24" t="str">
        <f t="shared" si="1"/>
        <v>I</v>
      </c>
      <c r="C47" s="13">
        <f t="shared" si="2"/>
        <v>51459.324999999997</v>
      </c>
      <c r="D47" s="21" t="str">
        <f t="shared" si="3"/>
        <v>vis</v>
      </c>
      <c r="E47" s="46">
        <f>VLOOKUP(C47,Active!C$21:E$973,3,FALSE)</f>
        <v>13228.203910051534</v>
      </c>
      <c r="F47" s="24" t="s">
        <v>56</v>
      </c>
      <c r="G47" s="21" t="str">
        <f t="shared" si="4"/>
        <v>51459.325</v>
      </c>
      <c r="H47" s="13">
        <f t="shared" si="5"/>
        <v>-2883</v>
      </c>
      <c r="I47" s="47" t="s">
        <v>154</v>
      </c>
      <c r="J47" s="48" t="s">
        <v>155</v>
      </c>
      <c r="K47" s="47">
        <v>-2883</v>
      </c>
      <c r="L47" s="47" t="s">
        <v>101</v>
      </c>
      <c r="M47" s="48" t="s">
        <v>144</v>
      </c>
      <c r="N47" s="48" t="s">
        <v>156</v>
      </c>
      <c r="O47" s="49" t="s">
        <v>157</v>
      </c>
      <c r="P47" s="49" t="s">
        <v>158</v>
      </c>
    </row>
    <row r="48" spans="1:16" ht="12.75" customHeight="1" thickBot="1" x14ac:dyDescent="0.25">
      <c r="A48" s="13" t="str">
        <f t="shared" si="0"/>
        <v>BAVM 193 </v>
      </c>
      <c r="B48" s="24" t="str">
        <f t="shared" si="1"/>
        <v>II</v>
      </c>
      <c r="C48" s="13">
        <f t="shared" si="2"/>
        <v>54377.340499999998</v>
      </c>
      <c r="D48" s="21" t="str">
        <f t="shared" si="3"/>
        <v>vis</v>
      </c>
      <c r="E48" s="46">
        <f>VLOOKUP(C48,Active!C$21:E$973,3,FALSE)</f>
        <v>15853.754120958218</v>
      </c>
      <c r="F48" s="24" t="s">
        <v>56</v>
      </c>
      <c r="G48" s="21" t="str">
        <f t="shared" si="4"/>
        <v>54377.3405</v>
      </c>
      <c r="H48" s="13">
        <f t="shared" si="5"/>
        <v>-257.5</v>
      </c>
      <c r="I48" s="47" t="s">
        <v>176</v>
      </c>
      <c r="J48" s="48" t="s">
        <v>177</v>
      </c>
      <c r="K48" s="47" t="s">
        <v>178</v>
      </c>
      <c r="L48" s="47" t="s">
        <v>150</v>
      </c>
      <c r="M48" s="48" t="s">
        <v>172</v>
      </c>
      <c r="N48" s="48" t="s">
        <v>173</v>
      </c>
      <c r="O48" s="49" t="s">
        <v>146</v>
      </c>
      <c r="P48" s="50" t="s">
        <v>179</v>
      </c>
    </row>
    <row r="49" spans="1:16" ht="12.75" customHeight="1" thickBot="1" x14ac:dyDescent="0.25">
      <c r="A49" s="13" t="str">
        <f t="shared" si="0"/>
        <v>BAVM 193 </v>
      </c>
      <c r="B49" s="24" t="str">
        <f t="shared" si="1"/>
        <v>I</v>
      </c>
      <c r="C49" s="13">
        <f t="shared" si="2"/>
        <v>54382.339800000002</v>
      </c>
      <c r="D49" s="21" t="str">
        <f t="shared" si="3"/>
        <v>vis</v>
      </c>
      <c r="E49" s="46">
        <f>VLOOKUP(C49,Active!C$21:E$973,3,FALSE)</f>
        <v>15858.252353804957</v>
      </c>
      <c r="F49" s="24" t="s">
        <v>56</v>
      </c>
      <c r="G49" s="21" t="str">
        <f t="shared" si="4"/>
        <v>54382.3398</v>
      </c>
      <c r="H49" s="13">
        <f t="shared" si="5"/>
        <v>-253</v>
      </c>
      <c r="I49" s="47" t="s">
        <v>180</v>
      </c>
      <c r="J49" s="48" t="s">
        <v>181</v>
      </c>
      <c r="K49" s="47" t="s">
        <v>182</v>
      </c>
      <c r="L49" s="47" t="s">
        <v>183</v>
      </c>
      <c r="M49" s="48" t="s">
        <v>172</v>
      </c>
      <c r="N49" s="48" t="s">
        <v>173</v>
      </c>
      <c r="O49" s="49" t="s">
        <v>146</v>
      </c>
      <c r="P49" s="50" t="s">
        <v>179</v>
      </c>
    </row>
    <row r="50" spans="1:16" ht="12.75" customHeight="1" thickBot="1" x14ac:dyDescent="0.25">
      <c r="A50" s="13" t="str">
        <f t="shared" si="0"/>
        <v>BAVM 203 </v>
      </c>
      <c r="B50" s="24" t="str">
        <f t="shared" si="1"/>
        <v>I</v>
      </c>
      <c r="C50" s="13">
        <f t="shared" si="2"/>
        <v>54663.527800000003</v>
      </c>
      <c r="D50" s="21" t="str">
        <f t="shared" si="3"/>
        <v>vis</v>
      </c>
      <c r="E50" s="46">
        <f>VLOOKUP(C50,Active!C$21:E$973,3,FALSE)</f>
        <v>16111.257594080218</v>
      </c>
      <c r="F50" s="24" t="s">
        <v>56</v>
      </c>
      <c r="G50" s="21" t="str">
        <f t="shared" si="4"/>
        <v>54663.5278</v>
      </c>
      <c r="H50" s="13">
        <f t="shared" si="5"/>
        <v>0</v>
      </c>
      <c r="I50" s="47" t="s">
        <v>184</v>
      </c>
      <c r="J50" s="48" t="s">
        <v>185</v>
      </c>
      <c r="K50" s="47" t="s">
        <v>186</v>
      </c>
      <c r="L50" s="47" t="s">
        <v>187</v>
      </c>
      <c r="M50" s="48" t="s">
        <v>172</v>
      </c>
      <c r="N50" s="48" t="s">
        <v>173</v>
      </c>
      <c r="O50" s="49" t="s">
        <v>146</v>
      </c>
      <c r="P50" s="50" t="s">
        <v>188</v>
      </c>
    </row>
    <row r="51" spans="1:16" x14ac:dyDescent="0.2">
      <c r="B51" s="24"/>
      <c r="E51" s="46"/>
      <c r="F51" s="24"/>
    </row>
    <row r="52" spans="1:16" x14ac:dyDescent="0.2">
      <c r="B52" s="24"/>
      <c r="E52" s="46"/>
      <c r="F52" s="24"/>
    </row>
    <row r="53" spans="1:16" x14ac:dyDescent="0.2">
      <c r="B53" s="24"/>
      <c r="E53" s="46"/>
      <c r="F53" s="24"/>
    </row>
    <row r="54" spans="1:16" x14ac:dyDescent="0.2">
      <c r="B54" s="24"/>
      <c r="E54" s="46"/>
      <c r="F54" s="24"/>
    </row>
    <row r="55" spans="1:16" x14ac:dyDescent="0.2">
      <c r="B55" s="24"/>
      <c r="E55" s="46"/>
      <c r="F55" s="24"/>
    </row>
    <row r="56" spans="1:16" x14ac:dyDescent="0.2">
      <c r="B56" s="24"/>
      <c r="E56" s="46"/>
      <c r="F56" s="24"/>
    </row>
    <row r="57" spans="1:16" x14ac:dyDescent="0.2">
      <c r="B57" s="24"/>
      <c r="E57" s="46"/>
      <c r="F57" s="24"/>
    </row>
    <row r="58" spans="1:16" x14ac:dyDescent="0.2">
      <c r="B58" s="24"/>
      <c r="E58" s="46"/>
      <c r="F58" s="24"/>
    </row>
    <row r="59" spans="1:16" x14ac:dyDescent="0.2">
      <c r="B59" s="24"/>
      <c r="E59" s="46"/>
      <c r="F59" s="24"/>
    </row>
    <row r="60" spans="1:16" x14ac:dyDescent="0.2">
      <c r="B60" s="24"/>
      <c r="E60" s="46"/>
      <c r="F60" s="24"/>
    </row>
    <row r="61" spans="1:16" x14ac:dyDescent="0.2">
      <c r="B61" s="24"/>
      <c r="E61" s="46"/>
      <c r="F61" s="24"/>
    </row>
    <row r="62" spans="1:16" x14ac:dyDescent="0.2">
      <c r="B62" s="24"/>
      <c r="E62" s="46"/>
      <c r="F62" s="24"/>
    </row>
    <row r="63" spans="1:16" x14ac:dyDescent="0.2">
      <c r="B63" s="24"/>
      <c r="E63" s="46"/>
      <c r="F63" s="24"/>
    </row>
    <row r="64" spans="1:16" x14ac:dyDescent="0.2">
      <c r="B64" s="24"/>
      <c r="E64" s="46"/>
      <c r="F64" s="24"/>
    </row>
    <row r="65" spans="2:6" x14ac:dyDescent="0.2">
      <c r="B65" s="24"/>
      <c r="E65" s="46"/>
      <c r="F65" s="24"/>
    </row>
    <row r="66" spans="2:6" x14ac:dyDescent="0.2">
      <c r="B66" s="24"/>
      <c r="E66" s="46"/>
      <c r="F66" s="24"/>
    </row>
    <row r="67" spans="2:6" x14ac:dyDescent="0.2">
      <c r="B67" s="24"/>
      <c r="E67" s="46"/>
      <c r="F67" s="24"/>
    </row>
    <row r="68" spans="2:6" x14ac:dyDescent="0.2">
      <c r="B68" s="24"/>
      <c r="E68" s="46"/>
      <c r="F68" s="24"/>
    </row>
    <row r="69" spans="2:6" x14ac:dyDescent="0.2">
      <c r="B69" s="24"/>
      <c r="E69" s="46"/>
      <c r="F69" s="24"/>
    </row>
    <row r="70" spans="2:6" x14ac:dyDescent="0.2">
      <c r="B70" s="24"/>
      <c r="E70" s="46"/>
      <c r="F70" s="24"/>
    </row>
    <row r="71" spans="2:6" x14ac:dyDescent="0.2">
      <c r="B71" s="24"/>
      <c r="E71" s="46"/>
      <c r="F71" s="24"/>
    </row>
    <row r="72" spans="2:6" x14ac:dyDescent="0.2">
      <c r="B72" s="24"/>
      <c r="E72" s="46"/>
      <c r="F72" s="24"/>
    </row>
    <row r="73" spans="2:6" x14ac:dyDescent="0.2">
      <c r="B73" s="24"/>
      <c r="E73" s="46"/>
      <c r="F73" s="24"/>
    </row>
    <row r="74" spans="2:6" x14ac:dyDescent="0.2">
      <c r="B74" s="24"/>
      <c r="E74" s="46"/>
      <c r="F74" s="24"/>
    </row>
    <row r="75" spans="2:6" x14ac:dyDescent="0.2">
      <c r="B75" s="24"/>
      <c r="E75" s="46"/>
      <c r="F75" s="24"/>
    </row>
    <row r="76" spans="2:6" x14ac:dyDescent="0.2">
      <c r="B76" s="24"/>
      <c r="E76" s="46"/>
      <c r="F76" s="24"/>
    </row>
    <row r="77" spans="2:6" x14ac:dyDescent="0.2">
      <c r="B77" s="24"/>
      <c r="E77" s="46"/>
      <c r="F77" s="24"/>
    </row>
    <row r="78" spans="2:6" x14ac:dyDescent="0.2">
      <c r="B78" s="24"/>
      <c r="E78" s="46"/>
      <c r="F78" s="24"/>
    </row>
    <row r="79" spans="2:6" x14ac:dyDescent="0.2">
      <c r="B79" s="24"/>
      <c r="E79" s="46"/>
      <c r="F79" s="24"/>
    </row>
    <row r="80" spans="2:6" x14ac:dyDescent="0.2">
      <c r="B80" s="24"/>
      <c r="E80" s="46"/>
      <c r="F80" s="24"/>
    </row>
    <row r="81" spans="2:6" x14ac:dyDescent="0.2">
      <c r="B81" s="24"/>
      <c r="E81" s="46"/>
      <c r="F81" s="24"/>
    </row>
    <row r="82" spans="2:6" x14ac:dyDescent="0.2">
      <c r="B82" s="24"/>
      <c r="E82" s="46"/>
      <c r="F82" s="24"/>
    </row>
    <row r="83" spans="2:6" x14ac:dyDescent="0.2">
      <c r="B83" s="24"/>
      <c r="E83" s="46"/>
      <c r="F83" s="24"/>
    </row>
    <row r="84" spans="2:6" x14ac:dyDescent="0.2">
      <c r="B84" s="24"/>
      <c r="E84" s="46"/>
      <c r="F84" s="24"/>
    </row>
    <row r="85" spans="2:6" x14ac:dyDescent="0.2">
      <c r="B85" s="24"/>
      <c r="E85" s="46"/>
      <c r="F85" s="24"/>
    </row>
    <row r="86" spans="2:6" x14ac:dyDescent="0.2">
      <c r="B86" s="24"/>
      <c r="E86" s="46"/>
      <c r="F86" s="24"/>
    </row>
    <row r="87" spans="2:6" x14ac:dyDescent="0.2">
      <c r="B87" s="24"/>
      <c r="E87" s="46"/>
      <c r="F87" s="24"/>
    </row>
    <row r="88" spans="2:6" x14ac:dyDescent="0.2">
      <c r="B88" s="24"/>
      <c r="F88" s="24"/>
    </row>
    <row r="89" spans="2:6" x14ac:dyDescent="0.2">
      <c r="B89" s="24"/>
      <c r="F89" s="24"/>
    </row>
    <row r="90" spans="2:6" x14ac:dyDescent="0.2">
      <c r="B90" s="24"/>
      <c r="F90" s="24"/>
    </row>
    <row r="91" spans="2:6" x14ac:dyDescent="0.2">
      <c r="B91" s="24"/>
      <c r="F91" s="24"/>
    </row>
    <row r="92" spans="2:6" x14ac:dyDescent="0.2">
      <c r="B92" s="24"/>
      <c r="F92" s="24"/>
    </row>
    <row r="93" spans="2:6" x14ac:dyDescent="0.2">
      <c r="B93" s="24"/>
      <c r="F93" s="24"/>
    </row>
    <row r="94" spans="2:6" x14ac:dyDescent="0.2">
      <c r="B94" s="24"/>
      <c r="F94" s="24"/>
    </row>
    <row r="95" spans="2:6" x14ac:dyDescent="0.2">
      <c r="B95" s="24"/>
      <c r="F95" s="24"/>
    </row>
    <row r="96" spans="2:6" x14ac:dyDescent="0.2">
      <c r="B96" s="24"/>
      <c r="F96" s="24"/>
    </row>
    <row r="97" spans="2:6" x14ac:dyDescent="0.2">
      <c r="B97" s="24"/>
      <c r="F97" s="24"/>
    </row>
    <row r="98" spans="2:6" x14ac:dyDescent="0.2">
      <c r="B98" s="24"/>
      <c r="F98" s="24"/>
    </row>
    <row r="99" spans="2:6" x14ac:dyDescent="0.2">
      <c r="B99" s="24"/>
      <c r="F99" s="24"/>
    </row>
    <row r="100" spans="2:6" x14ac:dyDescent="0.2">
      <c r="B100" s="24"/>
      <c r="F100" s="24"/>
    </row>
    <row r="101" spans="2:6" x14ac:dyDescent="0.2">
      <c r="B101" s="24"/>
      <c r="F101" s="24"/>
    </row>
    <row r="102" spans="2:6" x14ac:dyDescent="0.2">
      <c r="B102" s="24"/>
      <c r="F102" s="24"/>
    </row>
    <row r="103" spans="2:6" x14ac:dyDescent="0.2">
      <c r="B103" s="24"/>
      <c r="F103" s="24"/>
    </row>
    <row r="104" spans="2:6" x14ac:dyDescent="0.2">
      <c r="B104" s="24"/>
      <c r="F104" s="24"/>
    </row>
    <row r="105" spans="2:6" x14ac:dyDescent="0.2">
      <c r="B105" s="24"/>
      <c r="F105" s="24"/>
    </row>
    <row r="106" spans="2:6" x14ac:dyDescent="0.2">
      <c r="B106" s="24"/>
      <c r="F106" s="24"/>
    </row>
    <row r="107" spans="2:6" x14ac:dyDescent="0.2">
      <c r="B107" s="24"/>
      <c r="F107" s="24"/>
    </row>
    <row r="108" spans="2:6" x14ac:dyDescent="0.2">
      <c r="B108" s="24"/>
      <c r="F108" s="24"/>
    </row>
    <row r="109" spans="2:6" x14ac:dyDescent="0.2">
      <c r="B109" s="24"/>
      <c r="F109" s="24"/>
    </row>
    <row r="110" spans="2:6" x14ac:dyDescent="0.2">
      <c r="B110" s="24"/>
      <c r="F110" s="24"/>
    </row>
    <row r="111" spans="2:6" x14ac:dyDescent="0.2">
      <c r="B111" s="24"/>
      <c r="F111" s="24"/>
    </row>
    <row r="112" spans="2:6" x14ac:dyDescent="0.2">
      <c r="B112" s="24"/>
      <c r="F112" s="24"/>
    </row>
    <row r="113" spans="2:6" x14ac:dyDescent="0.2">
      <c r="B113" s="24"/>
      <c r="F113" s="24"/>
    </row>
    <row r="114" spans="2:6" x14ac:dyDescent="0.2">
      <c r="B114" s="24"/>
      <c r="F114" s="24"/>
    </row>
    <row r="115" spans="2:6" x14ac:dyDescent="0.2">
      <c r="B115" s="24"/>
      <c r="F115" s="24"/>
    </row>
    <row r="116" spans="2:6" x14ac:dyDescent="0.2">
      <c r="B116" s="24"/>
      <c r="F116" s="24"/>
    </row>
    <row r="117" spans="2:6" x14ac:dyDescent="0.2">
      <c r="B117" s="24"/>
      <c r="F117" s="24"/>
    </row>
    <row r="118" spans="2:6" x14ac:dyDescent="0.2">
      <c r="B118" s="24"/>
      <c r="F118" s="24"/>
    </row>
    <row r="119" spans="2:6" x14ac:dyDescent="0.2">
      <c r="B119" s="24"/>
      <c r="F119" s="24"/>
    </row>
    <row r="120" spans="2:6" x14ac:dyDescent="0.2">
      <c r="B120" s="24"/>
      <c r="F120" s="24"/>
    </row>
    <row r="121" spans="2:6" x14ac:dyDescent="0.2">
      <c r="B121" s="24"/>
      <c r="F121" s="24"/>
    </row>
    <row r="122" spans="2:6" x14ac:dyDescent="0.2">
      <c r="B122" s="24"/>
      <c r="F122" s="24"/>
    </row>
    <row r="123" spans="2:6" x14ac:dyDescent="0.2">
      <c r="B123" s="24"/>
      <c r="F123" s="24"/>
    </row>
    <row r="124" spans="2:6" x14ac:dyDescent="0.2">
      <c r="B124" s="24"/>
      <c r="F124" s="24"/>
    </row>
    <row r="125" spans="2:6" x14ac:dyDescent="0.2">
      <c r="B125" s="24"/>
      <c r="F125" s="24"/>
    </row>
    <row r="126" spans="2:6" x14ac:dyDescent="0.2">
      <c r="B126" s="24"/>
      <c r="F126" s="24"/>
    </row>
    <row r="127" spans="2:6" x14ac:dyDescent="0.2">
      <c r="B127" s="24"/>
      <c r="F127" s="24"/>
    </row>
    <row r="128" spans="2:6" x14ac:dyDescent="0.2">
      <c r="B128" s="24"/>
      <c r="F128" s="24"/>
    </row>
    <row r="129" spans="2:6" x14ac:dyDescent="0.2">
      <c r="B129" s="24"/>
      <c r="F129" s="24"/>
    </row>
    <row r="130" spans="2:6" x14ac:dyDescent="0.2">
      <c r="B130" s="24"/>
      <c r="F130" s="24"/>
    </row>
    <row r="131" spans="2:6" x14ac:dyDescent="0.2">
      <c r="B131" s="24"/>
      <c r="F131" s="24"/>
    </row>
    <row r="132" spans="2:6" x14ac:dyDescent="0.2">
      <c r="B132" s="24"/>
      <c r="F132" s="24"/>
    </row>
    <row r="133" spans="2:6" x14ac:dyDescent="0.2">
      <c r="B133" s="24"/>
      <c r="F133" s="24"/>
    </row>
    <row r="134" spans="2:6" x14ac:dyDescent="0.2">
      <c r="B134" s="24"/>
      <c r="F134" s="24"/>
    </row>
    <row r="135" spans="2:6" x14ac:dyDescent="0.2">
      <c r="B135" s="24"/>
      <c r="F135" s="24"/>
    </row>
    <row r="136" spans="2:6" x14ac:dyDescent="0.2">
      <c r="B136" s="24"/>
      <c r="F136" s="24"/>
    </row>
    <row r="137" spans="2:6" x14ac:dyDescent="0.2">
      <c r="B137" s="24"/>
      <c r="F137" s="24"/>
    </row>
    <row r="138" spans="2:6" x14ac:dyDescent="0.2">
      <c r="B138" s="24"/>
      <c r="F138" s="24"/>
    </row>
    <row r="139" spans="2:6" x14ac:dyDescent="0.2">
      <c r="B139" s="24"/>
      <c r="F139" s="24"/>
    </row>
    <row r="140" spans="2:6" x14ac:dyDescent="0.2">
      <c r="B140" s="24"/>
      <c r="F140" s="24"/>
    </row>
    <row r="141" spans="2:6" x14ac:dyDescent="0.2">
      <c r="B141" s="24"/>
      <c r="F141" s="24"/>
    </row>
    <row r="142" spans="2:6" x14ac:dyDescent="0.2">
      <c r="B142" s="24"/>
      <c r="F142" s="24"/>
    </row>
    <row r="143" spans="2:6" x14ac:dyDescent="0.2">
      <c r="B143" s="24"/>
      <c r="F143" s="24"/>
    </row>
    <row r="144" spans="2:6" x14ac:dyDescent="0.2">
      <c r="B144" s="24"/>
      <c r="F144" s="24"/>
    </row>
    <row r="145" spans="2:6" x14ac:dyDescent="0.2">
      <c r="B145" s="24"/>
      <c r="F145" s="24"/>
    </row>
    <row r="146" spans="2:6" x14ac:dyDescent="0.2">
      <c r="B146" s="24"/>
      <c r="F146" s="24"/>
    </row>
    <row r="147" spans="2:6" x14ac:dyDescent="0.2">
      <c r="B147" s="24"/>
      <c r="F147" s="24"/>
    </row>
    <row r="148" spans="2:6" x14ac:dyDescent="0.2">
      <c r="B148" s="24"/>
      <c r="F148" s="24"/>
    </row>
    <row r="149" spans="2:6" x14ac:dyDescent="0.2">
      <c r="B149" s="24"/>
      <c r="F149" s="24"/>
    </row>
    <row r="150" spans="2:6" x14ac:dyDescent="0.2">
      <c r="B150" s="24"/>
      <c r="F150" s="24"/>
    </row>
    <row r="151" spans="2:6" x14ac:dyDescent="0.2">
      <c r="B151" s="24"/>
      <c r="F151" s="24"/>
    </row>
    <row r="152" spans="2:6" x14ac:dyDescent="0.2">
      <c r="B152" s="24"/>
      <c r="F152" s="24"/>
    </row>
    <row r="153" spans="2:6" x14ac:dyDescent="0.2">
      <c r="B153" s="24"/>
      <c r="F153" s="24"/>
    </row>
    <row r="154" spans="2:6" x14ac:dyDescent="0.2">
      <c r="B154" s="24"/>
      <c r="F154" s="24"/>
    </row>
    <row r="155" spans="2:6" x14ac:dyDescent="0.2">
      <c r="B155" s="24"/>
      <c r="F155" s="24"/>
    </row>
    <row r="156" spans="2:6" x14ac:dyDescent="0.2">
      <c r="B156" s="24"/>
      <c r="F156" s="24"/>
    </row>
    <row r="157" spans="2:6" x14ac:dyDescent="0.2">
      <c r="B157" s="24"/>
      <c r="F157" s="24"/>
    </row>
    <row r="158" spans="2:6" x14ac:dyDescent="0.2">
      <c r="B158" s="24"/>
      <c r="F158" s="24"/>
    </row>
    <row r="159" spans="2:6" x14ac:dyDescent="0.2">
      <c r="B159" s="24"/>
      <c r="F159" s="24"/>
    </row>
    <row r="160" spans="2:6" x14ac:dyDescent="0.2">
      <c r="B160" s="24"/>
      <c r="F160" s="24"/>
    </row>
    <row r="161" spans="2:6" x14ac:dyDescent="0.2">
      <c r="B161" s="24"/>
      <c r="F161" s="24"/>
    </row>
    <row r="162" spans="2:6" x14ac:dyDescent="0.2">
      <c r="B162" s="24"/>
      <c r="F162" s="24"/>
    </row>
    <row r="163" spans="2:6" x14ac:dyDescent="0.2">
      <c r="B163" s="24"/>
      <c r="F163" s="24"/>
    </row>
    <row r="164" spans="2:6" x14ac:dyDescent="0.2">
      <c r="B164" s="24"/>
      <c r="F164" s="24"/>
    </row>
    <row r="165" spans="2:6" x14ac:dyDescent="0.2">
      <c r="B165" s="24"/>
      <c r="F165" s="24"/>
    </row>
    <row r="166" spans="2:6" x14ac:dyDescent="0.2">
      <c r="B166" s="24"/>
      <c r="F166" s="24"/>
    </row>
    <row r="167" spans="2:6" x14ac:dyDescent="0.2">
      <c r="B167" s="24"/>
      <c r="F167" s="24"/>
    </row>
    <row r="168" spans="2:6" x14ac:dyDescent="0.2">
      <c r="B168" s="24"/>
      <c r="F168" s="24"/>
    </row>
    <row r="169" spans="2:6" x14ac:dyDescent="0.2">
      <c r="B169" s="24"/>
      <c r="F169" s="24"/>
    </row>
    <row r="170" spans="2:6" x14ac:dyDescent="0.2">
      <c r="B170" s="24"/>
      <c r="F170" s="24"/>
    </row>
    <row r="171" spans="2:6" x14ac:dyDescent="0.2">
      <c r="B171" s="24"/>
      <c r="F171" s="24"/>
    </row>
    <row r="172" spans="2:6" x14ac:dyDescent="0.2">
      <c r="B172" s="24"/>
      <c r="F172" s="24"/>
    </row>
    <row r="173" spans="2:6" x14ac:dyDescent="0.2">
      <c r="B173" s="24"/>
      <c r="F173" s="24"/>
    </row>
    <row r="174" spans="2:6" x14ac:dyDescent="0.2">
      <c r="B174" s="24"/>
      <c r="F174" s="24"/>
    </row>
    <row r="175" spans="2:6" x14ac:dyDescent="0.2">
      <c r="B175" s="24"/>
      <c r="F175" s="24"/>
    </row>
    <row r="176" spans="2: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  <row r="783" spans="2:6" x14ac:dyDescent="0.2">
      <c r="B783" s="24"/>
      <c r="F783" s="24"/>
    </row>
    <row r="784" spans="2:6" x14ac:dyDescent="0.2">
      <c r="B784" s="24"/>
      <c r="F784" s="24"/>
    </row>
    <row r="785" spans="2:6" x14ac:dyDescent="0.2">
      <c r="B785" s="24"/>
      <c r="F785" s="24"/>
    </row>
    <row r="786" spans="2:6" x14ac:dyDescent="0.2">
      <c r="B786" s="24"/>
      <c r="F786" s="24"/>
    </row>
    <row r="787" spans="2:6" x14ac:dyDescent="0.2">
      <c r="B787" s="24"/>
      <c r="F787" s="24"/>
    </row>
    <row r="788" spans="2:6" x14ac:dyDescent="0.2">
      <c r="B788" s="24"/>
      <c r="F788" s="24"/>
    </row>
    <row r="789" spans="2:6" x14ac:dyDescent="0.2">
      <c r="B789" s="24"/>
      <c r="F789" s="24"/>
    </row>
    <row r="790" spans="2:6" x14ac:dyDescent="0.2">
      <c r="B790" s="24"/>
      <c r="F790" s="24"/>
    </row>
    <row r="791" spans="2:6" x14ac:dyDescent="0.2">
      <c r="B791" s="24"/>
      <c r="F791" s="24"/>
    </row>
    <row r="792" spans="2:6" x14ac:dyDescent="0.2">
      <c r="B792" s="24"/>
      <c r="F792" s="24"/>
    </row>
    <row r="793" spans="2:6" x14ac:dyDescent="0.2">
      <c r="B793" s="24"/>
      <c r="F793" s="24"/>
    </row>
    <row r="794" spans="2:6" x14ac:dyDescent="0.2">
      <c r="B794" s="24"/>
      <c r="F794" s="24"/>
    </row>
    <row r="795" spans="2:6" x14ac:dyDescent="0.2">
      <c r="B795" s="24"/>
      <c r="F795" s="24"/>
    </row>
    <row r="796" spans="2:6" x14ac:dyDescent="0.2">
      <c r="B796" s="24"/>
      <c r="F796" s="24"/>
    </row>
    <row r="797" spans="2:6" x14ac:dyDescent="0.2">
      <c r="B797" s="24"/>
      <c r="F797" s="24"/>
    </row>
    <row r="798" spans="2:6" x14ac:dyDescent="0.2">
      <c r="B798" s="24"/>
      <c r="F798" s="24"/>
    </row>
    <row r="799" spans="2:6" x14ac:dyDescent="0.2">
      <c r="B799" s="24"/>
      <c r="F799" s="24"/>
    </row>
    <row r="800" spans="2:6" x14ac:dyDescent="0.2">
      <c r="B800" s="24"/>
      <c r="F800" s="24"/>
    </row>
    <row r="801" spans="2:6" x14ac:dyDescent="0.2">
      <c r="B801" s="24"/>
      <c r="F801" s="24"/>
    </row>
    <row r="802" spans="2:6" x14ac:dyDescent="0.2">
      <c r="B802" s="24"/>
      <c r="F802" s="24"/>
    </row>
    <row r="803" spans="2:6" x14ac:dyDescent="0.2">
      <c r="B803" s="24"/>
      <c r="F803" s="24"/>
    </row>
    <row r="804" spans="2:6" x14ac:dyDescent="0.2">
      <c r="B804" s="24"/>
      <c r="F804" s="24"/>
    </row>
    <row r="805" spans="2:6" x14ac:dyDescent="0.2">
      <c r="B805" s="24"/>
      <c r="F805" s="24"/>
    </row>
    <row r="806" spans="2:6" x14ac:dyDescent="0.2">
      <c r="B806" s="24"/>
      <c r="F806" s="24"/>
    </row>
    <row r="807" spans="2:6" x14ac:dyDescent="0.2">
      <c r="B807" s="24"/>
      <c r="F807" s="24"/>
    </row>
    <row r="808" spans="2:6" x14ac:dyDescent="0.2">
      <c r="B808" s="24"/>
      <c r="F808" s="24"/>
    </row>
    <row r="809" spans="2:6" x14ac:dyDescent="0.2">
      <c r="B809" s="24"/>
      <c r="F809" s="24"/>
    </row>
    <row r="810" spans="2:6" x14ac:dyDescent="0.2">
      <c r="B810" s="24"/>
      <c r="F810" s="24"/>
    </row>
    <row r="811" spans="2:6" x14ac:dyDescent="0.2">
      <c r="B811" s="24"/>
      <c r="F811" s="24"/>
    </row>
    <row r="812" spans="2:6" x14ac:dyDescent="0.2">
      <c r="B812" s="24"/>
      <c r="F812" s="24"/>
    </row>
    <row r="813" spans="2:6" x14ac:dyDescent="0.2">
      <c r="B813" s="24"/>
      <c r="F813" s="24"/>
    </row>
    <row r="814" spans="2:6" x14ac:dyDescent="0.2">
      <c r="B814" s="24"/>
      <c r="F814" s="24"/>
    </row>
    <row r="815" spans="2:6" x14ac:dyDescent="0.2">
      <c r="B815" s="24"/>
      <c r="F815" s="24"/>
    </row>
    <row r="816" spans="2:6" x14ac:dyDescent="0.2">
      <c r="B816" s="24"/>
      <c r="F816" s="24"/>
    </row>
    <row r="817" spans="2:6" x14ac:dyDescent="0.2">
      <c r="B817" s="24"/>
      <c r="F817" s="24"/>
    </row>
    <row r="818" spans="2:6" x14ac:dyDescent="0.2">
      <c r="B818" s="24"/>
      <c r="F818" s="24"/>
    </row>
    <row r="819" spans="2:6" x14ac:dyDescent="0.2">
      <c r="B819" s="24"/>
      <c r="F819" s="24"/>
    </row>
    <row r="820" spans="2:6" x14ac:dyDescent="0.2">
      <c r="B820" s="24"/>
      <c r="F820" s="24"/>
    </row>
    <row r="821" spans="2:6" x14ac:dyDescent="0.2">
      <c r="B821" s="24"/>
      <c r="F821" s="24"/>
    </row>
    <row r="822" spans="2:6" x14ac:dyDescent="0.2">
      <c r="B822" s="24"/>
      <c r="F822" s="24"/>
    </row>
    <row r="823" spans="2:6" x14ac:dyDescent="0.2">
      <c r="B823" s="24"/>
      <c r="F823" s="24"/>
    </row>
    <row r="824" spans="2:6" x14ac:dyDescent="0.2">
      <c r="B824" s="24"/>
      <c r="F824" s="24"/>
    </row>
    <row r="825" spans="2:6" x14ac:dyDescent="0.2">
      <c r="B825" s="24"/>
      <c r="F825" s="24"/>
    </row>
    <row r="826" spans="2:6" x14ac:dyDescent="0.2">
      <c r="B826" s="24"/>
      <c r="F826" s="24"/>
    </row>
    <row r="827" spans="2:6" x14ac:dyDescent="0.2">
      <c r="B827" s="24"/>
      <c r="F827" s="24"/>
    </row>
    <row r="828" spans="2:6" x14ac:dyDescent="0.2">
      <c r="B828" s="24"/>
      <c r="F828" s="24"/>
    </row>
    <row r="829" spans="2:6" x14ac:dyDescent="0.2">
      <c r="B829" s="24"/>
      <c r="F829" s="24"/>
    </row>
    <row r="830" spans="2:6" x14ac:dyDescent="0.2">
      <c r="B830" s="24"/>
      <c r="F830" s="24"/>
    </row>
    <row r="831" spans="2:6" x14ac:dyDescent="0.2">
      <c r="B831" s="24"/>
      <c r="F831" s="24"/>
    </row>
    <row r="832" spans="2:6" x14ac:dyDescent="0.2">
      <c r="B832" s="24"/>
      <c r="F832" s="24"/>
    </row>
    <row r="833" spans="2:6" x14ac:dyDescent="0.2">
      <c r="B833" s="24"/>
      <c r="F833" s="24"/>
    </row>
    <row r="834" spans="2:6" x14ac:dyDescent="0.2">
      <c r="B834" s="24"/>
      <c r="F834" s="24"/>
    </row>
    <row r="835" spans="2:6" x14ac:dyDescent="0.2">
      <c r="B835" s="24"/>
      <c r="F835" s="24"/>
    </row>
    <row r="836" spans="2:6" x14ac:dyDescent="0.2">
      <c r="B836" s="24"/>
      <c r="F836" s="24"/>
    </row>
    <row r="837" spans="2:6" x14ac:dyDescent="0.2">
      <c r="B837" s="24"/>
      <c r="F837" s="24"/>
    </row>
    <row r="838" spans="2:6" x14ac:dyDescent="0.2">
      <c r="B838" s="24"/>
      <c r="F838" s="24"/>
    </row>
    <row r="839" spans="2:6" x14ac:dyDescent="0.2">
      <c r="B839" s="24"/>
      <c r="F839" s="24"/>
    </row>
    <row r="840" spans="2:6" x14ac:dyDescent="0.2">
      <c r="B840" s="24"/>
      <c r="F840" s="24"/>
    </row>
    <row r="841" spans="2:6" x14ac:dyDescent="0.2">
      <c r="B841" s="24"/>
      <c r="F841" s="24"/>
    </row>
    <row r="842" spans="2:6" x14ac:dyDescent="0.2">
      <c r="B842" s="24"/>
      <c r="F842" s="24"/>
    </row>
    <row r="843" spans="2:6" x14ac:dyDescent="0.2">
      <c r="B843" s="24"/>
      <c r="F843" s="24"/>
    </row>
    <row r="844" spans="2:6" x14ac:dyDescent="0.2">
      <c r="B844" s="24"/>
      <c r="F844" s="24"/>
    </row>
    <row r="845" spans="2:6" x14ac:dyDescent="0.2">
      <c r="B845" s="24"/>
      <c r="F845" s="24"/>
    </row>
    <row r="846" spans="2:6" x14ac:dyDescent="0.2">
      <c r="B846" s="24"/>
      <c r="F846" s="24"/>
    </row>
    <row r="847" spans="2:6" x14ac:dyDescent="0.2">
      <c r="B847" s="24"/>
      <c r="F847" s="24"/>
    </row>
    <row r="848" spans="2:6" x14ac:dyDescent="0.2">
      <c r="B848" s="24"/>
      <c r="F848" s="24"/>
    </row>
    <row r="849" spans="2:6" x14ac:dyDescent="0.2">
      <c r="B849" s="24"/>
      <c r="F849" s="24"/>
    </row>
    <row r="850" spans="2:6" x14ac:dyDescent="0.2">
      <c r="B850" s="24"/>
      <c r="F850" s="24"/>
    </row>
    <row r="851" spans="2:6" x14ac:dyDescent="0.2">
      <c r="B851" s="24"/>
      <c r="F851" s="24"/>
    </row>
    <row r="852" spans="2:6" x14ac:dyDescent="0.2">
      <c r="B852" s="24"/>
      <c r="F852" s="24"/>
    </row>
    <row r="853" spans="2:6" x14ac:dyDescent="0.2">
      <c r="B853" s="24"/>
      <c r="F853" s="24"/>
    </row>
    <row r="854" spans="2:6" x14ac:dyDescent="0.2">
      <c r="B854" s="24"/>
      <c r="F854" s="24"/>
    </row>
    <row r="855" spans="2:6" x14ac:dyDescent="0.2">
      <c r="B855" s="24"/>
      <c r="F855" s="24"/>
    </row>
    <row r="856" spans="2:6" x14ac:dyDescent="0.2">
      <c r="B856" s="24"/>
      <c r="F856" s="24"/>
    </row>
    <row r="857" spans="2:6" x14ac:dyDescent="0.2">
      <c r="B857" s="24"/>
      <c r="F857" s="24"/>
    </row>
    <row r="858" spans="2:6" x14ac:dyDescent="0.2">
      <c r="B858" s="24"/>
      <c r="F858" s="24"/>
    </row>
    <row r="859" spans="2:6" x14ac:dyDescent="0.2">
      <c r="B859" s="24"/>
      <c r="F859" s="24"/>
    </row>
    <row r="860" spans="2:6" x14ac:dyDescent="0.2">
      <c r="B860" s="24"/>
      <c r="F860" s="24"/>
    </row>
    <row r="861" spans="2:6" x14ac:dyDescent="0.2">
      <c r="B861" s="24"/>
      <c r="F861" s="24"/>
    </row>
    <row r="862" spans="2:6" x14ac:dyDescent="0.2">
      <c r="B862" s="24"/>
      <c r="F862" s="24"/>
    </row>
    <row r="863" spans="2:6" x14ac:dyDescent="0.2">
      <c r="B863" s="24"/>
      <c r="F863" s="24"/>
    </row>
    <row r="864" spans="2:6" x14ac:dyDescent="0.2">
      <c r="B864" s="24"/>
      <c r="F864" s="24"/>
    </row>
    <row r="865" spans="2:6" x14ac:dyDescent="0.2">
      <c r="B865" s="24"/>
      <c r="F865" s="24"/>
    </row>
    <row r="866" spans="2:6" x14ac:dyDescent="0.2">
      <c r="B866" s="24"/>
      <c r="F866" s="24"/>
    </row>
    <row r="867" spans="2:6" x14ac:dyDescent="0.2">
      <c r="B867" s="24"/>
      <c r="F867" s="24"/>
    </row>
    <row r="868" spans="2:6" x14ac:dyDescent="0.2">
      <c r="B868" s="24"/>
      <c r="F868" s="24"/>
    </row>
    <row r="869" spans="2:6" x14ac:dyDescent="0.2">
      <c r="B869" s="24"/>
      <c r="F869" s="24"/>
    </row>
    <row r="870" spans="2:6" x14ac:dyDescent="0.2">
      <c r="B870" s="24"/>
      <c r="F870" s="24"/>
    </row>
    <row r="871" spans="2:6" x14ac:dyDescent="0.2">
      <c r="B871" s="24"/>
      <c r="F871" s="24"/>
    </row>
    <row r="872" spans="2:6" x14ac:dyDescent="0.2">
      <c r="B872" s="24"/>
      <c r="F872" s="24"/>
    </row>
    <row r="873" spans="2:6" x14ac:dyDescent="0.2">
      <c r="B873" s="24"/>
      <c r="F873" s="24"/>
    </row>
    <row r="874" spans="2:6" x14ac:dyDescent="0.2">
      <c r="B874" s="24"/>
      <c r="F874" s="24"/>
    </row>
    <row r="875" spans="2:6" x14ac:dyDescent="0.2">
      <c r="B875" s="24"/>
      <c r="F875" s="24"/>
    </row>
  </sheetData>
  <phoneticPr fontId="8" type="noConversion"/>
  <hyperlinks>
    <hyperlink ref="A3" r:id="rId1"/>
    <hyperlink ref="P11" r:id="rId2" display="http://www.bav-astro.de/sfs/BAVM_link.php?BAVMnr=90"/>
    <hyperlink ref="P12" r:id="rId3" display="http://www.bav-astro.de/sfs/BAVM_link.php?BAVMnr=90"/>
    <hyperlink ref="P13" r:id="rId4" display="http://www.bav-astro.de/sfs/BAVM_link.php?BAVMnr=90"/>
    <hyperlink ref="P14" r:id="rId5" display="http://www.konkoly.hu/cgi-bin/IBVS?5594"/>
    <hyperlink ref="P16" r:id="rId6" display="http://www.bav-astro.de/sfs/BAVM_link.php?BAVMnr=183"/>
    <hyperlink ref="P48" r:id="rId7" display="http://www.bav-astro.de/sfs/BAVM_link.php?BAVMnr=193"/>
    <hyperlink ref="P49" r:id="rId8" display="http://www.bav-astro.de/sfs/BAVM_link.php?BAVMnr=193"/>
    <hyperlink ref="P50" r:id="rId9" display="http://www.bav-astro.de/sfs/BAVM_link.php?BAVMnr=203"/>
    <hyperlink ref="P17" r:id="rId10" display="http://www.bav-astro.de/sfs/BAVM_link.php?BAVMnr=215"/>
    <hyperlink ref="P18" r:id="rId11" display="http://var.astro.cz/oejv/issues/oejv0160.pdf"/>
    <hyperlink ref="P19" r:id="rId12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2024-01-11T04:33:45Z</dcterms:modified>
</cp:coreProperties>
</file>