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4696D3F-8524-4502-BB95-4B803BE6B44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D9" i="1" l="1"/>
  <c r="C9" i="1"/>
  <c r="Q30" i="1"/>
  <c r="Q25" i="1"/>
  <c r="Q26" i="1"/>
  <c r="Q27" i="1"/>
  <c r="Q28" i="1"/>
  <c r="H18" i="3"/>
  <c r="B18" i="3"/>
  <c r="G18" i="3"/>
  <c r="C18" i="3"/>
  <c r="D18" i="3"/>
  <c r="A18" i="3"/>
  <c r="H17" i="3"/>
  <c r="B17" i="3"/>
  <c r="G17" i="3"/>
  <c r="C17" i="3"/>
  <c r="D17" i="3"/>
  <c r="A17" i="3"/>
  <c r="H16" i="3"/>
  <c r="G16" i="3"/>
  <c r="C16" i="3"/>
  <c r="D16" i="3"/>
  <c r="B16" i="3"/>
  <c r="A16" i="3"/>
  <c r="H15" i="3"/>
  <c r="G15" i="3"/>
  <c r="C15" i="3"/>
  <c r="D15" i="3"/>
  <c r="B15" i="3"/>
  <c r="A15" i="3"/>
  <c r="H14" i="3"/>
  <c r="B14" i="3"/>
  <c r="G14" i="3"/>
  <c r="C14" i="3"/>
  <c r="D14" i="3"/>
  <c r="A14" i="3"/>
  <c r="H13" i="3"/>
  <c r="B13" i="3"/>
  <c r="G13" i="3"/>
  <c r="C13" i="3"/>
  <c r="D13" i="3"/>
  <c r="A13" i="3"/>
  <c r="H12" i="3"/>
  <c r="G12" i="3"/>
  <c r="D12" i="3"/>
  <c r="C12" i="3"/>
  <c r="B12" i="3"/>
  <c r="A12" i="3"/>
  <c r="H11" i="3"/>
  <c r="G11" i="3"/>
  <c r="C11" i="3"/>
  <c r="D11" i="3"/>
  <c r="B11" i="3"/>
  <c r="A11" i="3"/>
  <c r="Q29" i="1"/>
  <c r="F16" i="1"/>
  <c r="F17" i="1" s="1"/>
  <c r="C17" i="1"/>
  <c r="F21" i="2"/>
  <c r="E21" i="2"/>
  <c r="G21" i="2"/>
  <c r="E22" i="2"/>
  <c r="F22" i="2"/>
  <c r="G22" i="2"/>
  <c r="E23" i="2"/>
  <c r="F23" i="2"/>
  <c r="G23" i="2"/>
  <c r="I23" i="2"/>
  <c r="E24" i="2"/>
  <c r="F24" i="2"/>
  <c r="G24" i="2"/>
  <c r="I24" i="2"/>
  <c r="E15" i="2"/>
  <c r="E16" i="2" s="1"/>
  <c r="E17" i="2" s="1"/>
  <c r="C17" i="2"/>
  <c r="H21" i="2"/>
  <c r="Q21" i="2"/>
  <c r="Q22" i="2"/>
  <c r="Q23" i="2"/>
  <c r="Q24" i="2"/>
  <c r="Q23" i="1"/>
  <c r="Q24" i="1"/>
  <c r="Q22" i="1"/>
  <c r="C7" i="1"/>
  <c r="C8" i="1"/>
  <c r="Q21" i="1"/>
  <c r="C12" i="2"/>
  <c r="C16" i="2"/>
  <c r="D18" i="2"/>
  <c r="E11" i="3"/>
  <c r="E17" i="3"/>
  <c r="C11" i="2"/>
  <c r="I22" i="2"/>
  <c r="E28" i="1"/>
  <c r="F28" i="1"/>
  <c r="G25" i="1"/>
  <c r="K25" i="1"/>
  <c r="G29" i="1"/>
  <c r="J29" i="1"/>
  <c r="E23" i="1"/>
  <c r="F23" i="1"/>
  <c r="G23" i="1"/>
  <c r="J23" i="1"/>
  <c r="E25" i="1"/>
  <c r="F25" i="1"/>
  <c r="E29" i="1"/>
  <c r="F29" i="1"/>
  <c r="E27" i="1"/>
  <c r="F27" i="1"/>
  <c r="G27" i="1"/>
  <c r="K27" i="1"/>
  <c r="G24" i="1"/>
  <c r="J24" i="1"/>
  <c r="E22" i="1"/>
  <c r="F22" i="1"/>
  <c r="G22" i="1"/>
  <c r="G26" i="1"/>
  <c r="K26" i="1"/>
  <c r="E21" i="1"/>
  <c r="F21" i="1"/>
  <c r="G21" i="1"/>
  <c r="H21" i="1"/>
  <c r="E24" i="1"/>
  <c r="F24" i="1"/>
  <c r="G28" i="1"/>
  <c r="K28" i="1"/>
  <c r="E26" i="1"/>
  <c r="F26" i="1"/>
  <c r="E30" i="1"/>
  <c r="F30" i="1"/>
  <c r="G30" i="1"/>
  <c r="K30" i="1"/>
  <c r="J22" i="1"/>
  <c r="O23" i="2"/>
  <c r="C15" i="2"/>
  <c r="O21" i="2"/>
  <c r="O24" i="2"/>
  <c r="O22" i="2"/>
  <c r="E15" i="3"/>
  <c r="E12" i="3"/>
  <c r="E13" i="3"/>
  <c r="E14" i="3"/>
  <c r="E18" i="3"/>
  <c r="E16" i="3"/>
  <c r="C18" i="2"/>
  <c r="C11" i="1"/>
  <c r="C12" i="1"/>
  <c r="C16" i="1" l="1"/>
  <c r="D18" i="1" s="1"/>
  <c r="O23" i="1"/>
  <c r="O29" i="1"/>
  <c r="O28" i="1"/>
  <c r="O25" i="1"/>
  <c r="O26" i="1"/>
  <c r="O21" i="1"/>
  <c r="O22" i="1"/>
  <c r="O30" i="1"/>
  <c r="O27" i="1"/>
  <c r="O24" i="1"/>
  <c r="C15" i="1"/>
  <c r="F18" i="1" l="1"/>
  <c r="F19" i="1" s="1"/>
  <c r="C18" i="1"/>
</calcChain>
</file>

<file path=xl/sharedStrings.xml><?xml version="1.0" encoding="utf-8"?>
<sst xmlns="http://schemas.openxmlformats.org/spreadsheetml/2006/main" count="202" uniqueCount="106">
  <si>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</si>
  <si>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</si>
  <si>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</si>
  <si>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</si>
  <si>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</si>
  <si>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</si>
  <si>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</si>
  <si>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</si>
  <si>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</si>
  <si>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</si>
  <si>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</si>
  <si>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</si>
  <si>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</si>
  <si>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</si>
  <si>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</si>
  <si>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</si>
  <si>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</si>
  <si>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</si>
  <si>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</si>
  <si>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</si>
  <si>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</si>
  <si>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</si>
  <si>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</si>
  <si>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</si>
  <si>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</si>
  <si>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</si>
  <si>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</si>
  <si>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</si>
  <si>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</si>
  <si>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</si>
  <si>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</si>
  <si>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</si>
  <si>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V1097 Aql / na</t>
  </si>
  <si>
    <t>IBVS 5657</t>
  </si>
  <si>
    <t>EA/SD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</si>
  <si>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</si>
  <si>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</si>
  <si>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</si>
  <si>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</si>
  <si>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</si>
  <si>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</si>
  <si>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5761</t>
  </si>
  <si>
    <t>I</t>
  </si>
  <si>
    <t>Prim/Sec ID is in doubt</t>
  </si>
  <si>
    <t>Start of linear fit &gt;&gt;&gt;&gt;&gt;&gt;&gt;&gt;&gt;&gt;&gt;&gt;&gt;&gt;&gt;&gt;&gt;&gt;&gt;&gt;&gt;</t>
  </si>
  <si>
    <t>Add cycle</t>
  </si>
  <si>
    <t>Old Cycle</t>
  </si>
  <si>
    <t>IBVS 5959</t>
  </si>
  <si>
    <t>II</t>
  </si>
  <si>
    <t>.0121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</si>
  <si>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</si>
  <si>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</si>
  <si>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</si>
  <si>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</si>
  <si>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</si>
  <si>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</si>
  <si>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</si>
  <si>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</si>
  <si>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</si>
  <si>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</si>
  <si>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</si>
  <si>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2453215.4326 </t>
  </si>
  <si>
    <t> 28.07.2004 22:22 </t>
  </si>
  <si>
    <t> 0.0161 </t>
  </si>
  <si>
    <t>E </t>
  </si>
  <si>
    <t>o</t>
  </si>
  <si>
    <t> F.Agerer </t>
  </si>
  <si>
    <t>BAVM 173 </t>
  </si>
  <si>
    <t>2453936.4650 </t>
  </si>
  <si>
    <t> 19.07.2006 23:09 </t>
  </si>
  <si>
    <t> -0.0023 </t>
  </si>
  <si>
    <t>C </t>
  </si>
  <si>
    <t>-I</t>
  </si>
  <si>
    <t>BAVM 183 </t>
  </si>
  <si>
    <t>2454001.4044 </t>
  </si>
  <si>
    <t> 22.09.2006 21:42 </t>
  </si>
  <si>
    <t>-870</t>
  </si>
  <si>
    <t> -0.0003 </t>
  </si>
  <si>
    <t>2454314.4436 </t>
  </si>
  <si>
    <t> 01.08.2007 22:38 </t>
  </si>
  <si>
    <t>-614.5</t>
  </si>
  <si>
    <t> -0.0087 </t>
  </si>
  <si>
    <t>BAVM 193 </t>
  </si>
  <si>
    <t>2454382.4512 </t>
  </si>
  <si>
    <t> 08.10.2007 22:49 </t>
  </si>
  <si>
    <t>-559</t>
  </si>
  <si>
    <t> -0.0016 </t>
  </si>
  <si>
    <t>2454703.4624 </t>
  </si>
  <si>
    <t> 24.08.2008 23:05 </t>
  </si>
  <si>
    <t>-297</t>
  </si>
  <si>
    <t> -0.0020 </t>
  </si>
  <si>
    <t>BAVM 203 </t>
  </si>
  <si>
    <t>2455067.3592 </t>
  </si>
  <si>
    <t> 23.08.2009 20:37 </t>
  </si>
  <si>
    <t>0</t>
  </si>
  <si>
    <t> 0.0000 </t>
  </si>
  <si>
    <t>BAVM 212 </t>
  </si>
  <si>
    <t>2455353.4483 </t>
  </si>
  <si>
    <t> 05.06.2010 22:45 </t>
  </si>
  <si>
    <t>233.5</t>
  </si>
  <si>
    <t> -0.0033 </t>
  </si>
  <si>
    <t>BAVM 214 </t>
  </si>
  <si>
    <t>s5</t>
  </si>
  <si>
    <t>s6</t>
  </si>
  <si>
    <t>s7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</si>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</sst>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9" fillId="0" borderId="0" xfId="0" applyFont="1" applyAlignment="1"/>
    <xf numFmtId="22" fontId="8" fillId="0" borderId="0" xfId="0" applyNumberFormat="1" applyFont="1" applyAlignment="1"/>
    <xf numFmtId="0" fontId="8" fillId="0" borderId="0" xfId="0" applyFont="1" applyAlignment="1">
      <alignment horizontal="right"/>
    </xf>
    <xf numFmtId="0" fontId="13" fillId="0" borderId="0" xfId="0" applyFont="1">
      <alignment vertical="top"/>
    </xf>
    <xf numFmtId="0" fontId="14" fillId="0" borderId="0" xfId="0" applyFont="1" applyAlignment="1"/>
    <xf numFmtId="0" fontId="13" fillId="0" borderId="0" xfId="0" applyFont="1" applyAlignment="1"/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0" fillId="0" borderId="0" xfId="0" applyAlignment="1">
      <alignment horizontal="right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V1097 Aql - O-C Diagr.</a:t>
            </a:r>
          </a:p>
        </c:rich>
      </c:tx>
      <c:layout>
        <c:manualLayout>
          <c:xMode val="edge"/>
          <c:yMode val="edge"/>
          <c:x val="0.361874329521410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20278.5</c:v>
                </c:pt>
                <c:pt idx="2">
                  <c:v>20867</c:v>
                </c:pt>
                <c:pt idx="3">
                  <c:v>20920</c:v>
                </c:pt>
                <c:pt idx="4">
                  <c:v>21175.5</c:v>
                </c:pt>
                <c:pt idx="5">
                  <c:v>21231</c:v>
                </c:pt>
                <c:pt idx="6">
                  <c:v>21493</c:v>
                </c:pt>
                <c:pt idx="7">
                  <c:v>21790</c:v>
                </c:pt>
                <c:pt idx="8">
                  <c:v>22023.5</c:v>
                </c:pt>
                <c:pt idx="9">
                  <c:v>23864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71-4ED6-9CE3-85FA4E20AA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20278.5</c:v>
                </c:pt>
                <c:pt idx="2">
                  <c:v>20867</c:v>
                </c:pt>
                <c:pt idx="3">
                  <c:v>20920</c:v>
                </c:pt>
                <c:pt idx="4">
                  <c:v>21175.5</c:v>
                </c:pt>
                <c:pt idx="5">
                  <c:v>21231</c:v>
                </c:pt>
                <c:pt idx="6">
                  <c:v>21493</c:v>
                </c:pt>
                <c:pt idx="7">
                  <c:v>21790</c:v>
                </c:pt>
                <c:pt idx="8">
                  <c:v>22023.5</c:v>
                </c:pt>
                <c:pt idx="9">
                  <c:v>23864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71-4ED6-9CE3-85FA4E20AA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20278.5</c:v>
                </c:pt>
                <c:pt idx="2">
                  <c:v>20867</c:v>
                </c:pt>
                <c:pt idx="3">
                  <c:v>20920</c:v>
                </c:pt>
                <c:pt idx="4">
                  <c:v>21175.5</c:v>
                </c:pt>
                <c:pt idx="5">
                  <c:v>21231</c:v>
                </c:pt>
                <c:pt idx="6">
                  <c:v>21493</c:v>
                </c:pt>
                <c:pt idx="7">
                  <c:v>21790</c:v>
                </c:pt>
                <c:pt idx="8">
                  <c:v>22023.5</c:v>
                </c:pt>
                <c:pt idx="9">
                  <c:v>23864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-4.1740000000572763E-2</c:v>
                </c:pt>
                <c:pt idx="2">
                  <c:v>-6.308000000717584E-2</c:v>
                </c:pt>
                <c:pt idx="3">
                  <c:v>-6.1400000005960464E-2</c:v>
                </c:pt>
                <c:pt idx="8">
                  <c:v>-6.9840000003750902E-2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71-4ED6-9CE3-85FA4E20AA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20278.5</c:v>
                </c:pt>
                <c:pt idx="2">
                  <c:v>20867</c:v>
                </c:pt>
                <c:pt idx="3">
                  <c:v>20920</c:v>
                </c:pt>
                <c:pt idx="4">
                  <c:v>21175.5</c:v>
                </c:pt>
                <c:pt idx="5">
                  <c:v>21231</c:v>
                </c:pt>
                <c:pt idx="6">
                  <c:v>21493</c:v>
                </c:pt>
                <c:pt idx="7">
                  <c:v>21790</c:v>
                </c:pt>
                <c:pt idx="8">
                  <c:v>22023.5</c:v>
                </c:pt>
                <c:pt idx="9">
                  <c:v>23864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-7.1020000003045425E-2</c:v>
                </c:pt>
                <c:pt idx="5">
                  <c:v>-6.4239999999699648E-2</c:v>
                </c:pt>
                <c:pt idx="6">
                  <c:v>-6.5920000000915024E-2</c:v>
                </c:pt>
                <c:pt idx="7">
                  <c:v>-6.5399999999499414E-2</c:v>
                </c:pt>
                <c:pt idx="9">
                  <c:v>-8.1530000003112946E-2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71-4ED6-9CE3-85FA4E20AA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20278.5</c:v>
                </c:pt>
                <c:pt idx="2">
                  <c:v>20867</c:v>
                </c:pt>
                <c:pt idx="3">
                  <c:v>20920</c:v>
                </c:pt>
                <c:pt idx="4">
                  <c:v>21175.5</c:v>
                </c:pt>
                <c:pt idx="5">
                  <c:v>21231</c:v>
                </c:pt>
                <c:pt idx="6">
                  <c:v>21493</c:v>
                </c:pt>
                <c:pt idx="7">
                  <c:v>21790</c:v>
                </c:pt>
                <c:pt idx="8">
                  <c:v>22023.5</c:v>
                </c:pt>
                <c:pt idx="9">
                  <c:v>23864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71-4ED6-9CE3-85FA4E20AA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20278.5</c:v>
                </c:pt>
                <c:pt idx="2">
                  <c:v>20867</c:v>
                </c:pt>
                <c:pt idx="3">
                  <c:v>20920</c:v>
                </c:pt>
                <c:pt idx="4">
                  <c:v>21175.5</c:v>
                </c:pt>
                <c:pt idx="5">
                  <c:v>21231</c:v>
                </c:pt>
                <c:pt idx="6">
                  <c:v>21493</c:v>
                </c:pt>
                <c:pt idx="7">
                  <c:v>21790</c:v>
                </c:pt>
                <c:pt idx="8">
                  <c:v>22023.5</c:v>
                </c:pt>
                <c:pt idx="9">
                  <c:v>23864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71-4ED6-9CE3-85FA4E20AA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20278.5</c:v>
                </c:pt>
                <c:pt idx="2">
                  <c:v>20867</c:v>
                </c:pt>
                <c:pt idx="3">
                  <c:v>20920</c:v>
                </c:pt>
                <c:pt idx="4">
                  <c:v>21175.5</c:v>
                </c:pt>
                <c:pt idx="5">
                  <c:v>21231</c:v>
                </c:pt>
                <c:pt idx="6">
                  <c:v>21493</c:v>
                </c:pt>
                <c:pt idx="7">
                  <c:v>21790</c:v>
                </c:pt>
                <c:pt idx="8">
                  <c:v>22023.5</c:v>
                </c:pt>
                <c:pt idx="9">
                  <c:v>23864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71-4ED6-9CE3-85FA4E20AA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20278.5</c:v>
                </c:pt>
                <c:pt idx="2">
                  <c:v>20867</c:v>
                </c:pt>
                <c:pt idx="3">
                  <c:v>20920</c:v>
                </c:pt>
                <c:pt idx="4">
                  <c:v>21175.5</c:v>
                </c:pt>
                <c:pt idx="5">
                  <c:v>21231</c:v>
                </c:pt>
                <c:pt idx="6">
                  <c:v>21493</c:v>
                </c:pt>
                <c:pt idx="7">
                  <c:v>21790</c:v>
                </c:pt>
                <c:pt idx="8">
                  <c:v>22023.5</c:v>
                </c:pt>
                <c:pt idx="9">
                  <c:v>23864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0.11981660186418218</c:v>
                </c:pt>
                <c:pt idx="1">
                  <c:v>-5.428464137326118E-2</c:v>
                </c:pt>
                <c:pt idx="2">
                  <c:v>-5.9337213390187257E-2</c:v>
                </c:pt>
                <c:pt idx="3">
                  <c:v>-5.9792245364523836E-2</c:v>
                </c:pt>
                <c:pt idx="4">
                  <c:v>-6.1985842901184182E-2</c:v>
                </c:pt>
                <c:pt idx="5">
                  <c:v>-6.2462338647895146E-2</c:v>
                </c:pt>
                <c:pt idx="6">
                  <c:v>-6.4711741992728847E-2</c:v>
                </c:pt>
                <c:pt idx="7">
                  <c:v>-6.7261638150803674E-2</c:v>
                </c:pt>
                <c:pt idx="8">
                  <c:v>-6.9266354490569601E-2</c:v>
                </c:pt>
                <c:pt idx="9">
                  <c:v>-8.5067983712578857E-2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71-4ED6-9CE3-85FA4E20A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951832"/>
        <c:axId val="1"/>
      </c:scatterChart>
      <c:valAx>
        <c:axId val="574951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951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01794020497032"/>
          <c:y val="0.92073298764483702"/>
          <c:w val="0.65589711625303704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V1097 Aql - O-C Diagr.</a:t>
            </a:r>
          </a:p>
        </c:rich>
      </c:tx>
      <c:layout>
        <c:manualLayout>
          <c:xMode val="edge"/>
          <c:yMode val="edge"/>
          <c:x val="0.361874329521410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7964465087074261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B!$F$21:$F$999</c:f>
              <c:numCache>
                <c:formatCode>General</c:formatCode>
                <c:ptCount val="979"/>
                <c:pt idx="0">
                  <c:v>-20920.5</c:v>
                </c:pt>
                <c:pt idx="1">
                  <c:v>-641.5</c:v>
                </c:pt>
                <c:pt idx="2">
                  <c:v>-53</c:v>
                </c:pt>
                <c:pt idx="3">
                  <c:v>0</c:v>
                </c:pt>
              </c:numCache>
            </c:numRef>
          </c:xVal>
          <c:yVal>
            <c:numRef>
              <c:f>B!$H$21:$H$999</c:f>
              <c:numCache>
                <c:formatCode>General</c:formatCode>
                <c:ptCount val="979"/>
                <c:pt idx="0">
                  <c:v>-8.3777558756992221E-6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8C-4732-A731-E52B171D694E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-20920.5</c:v>
                </c:pt>
                <c:pt idx="1">
                  <c:v>-641.5</c:v>
                </c:pt>
                <c:pt idx="2">
                  <c:v>-53</c:v>
                </c:pt>
                <c:pt idx="3">
                  <c:v>0</c:v>
                </c:pt>
              </c:numCache>
            </c:numRef>
          </c:xVal>
          <c:yVal>
            <c:numRef>
              <c:f>B!$I$21:$I$999</c:f>
              <c:numCache>
                <c:formatCode>General</c:formatCode>
                <c:ptCount val="979"/>
                <c:pt idx="1">
                  <c:v>4.307568960939534E-4</c:v>
                </c:pt>
                <c:pt idx="2">
                  <c:v>-1.9068617912125774E-3</c:v>
                </c:pt>
                <c:pt idx="3">
                  <c:v>1.4844826655462384E-3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8C-4732-A731-E52B171D694E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-20920.5</c:v>
                </c:pt>
                <c:pt idx="1">
                  <c:v>-641.5</c:v>
                </c:pt>
                <c:pt idx="2">
                  <c:v>-53</c:v>
                </c:pt>
                <c:pt idx="3">
                  <c:v>0</c:v>
                </c:pt>
              </c:numCache>
            </c:numRef>
          </c:xVal>
          <c:yVal>
            <c:numRef>
              <c:f>B!$J$21:$J$999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8C-4732-A731-E52B171D694E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-20920.5</c:v>
                </c:pt>
                <c:pt idx="1">
                  <c:v>-641.5</c:v>
                </c:pt>
                <c:pt idx="2">
                  <c:v>-53</c:v>
                </c:pt>
                <c:pt idx="3">
                  <c:v>0</c:v>
                </c:pt>
              </c:numCache>
            </c:numRef>
          </c:xVal>
          <c:yVal>
            <c:numRef>
              <c:f>B!$K$21:$K$999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8C-4732-A731-E52B171D694E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-20920.5</c:v>
                </c:pt>
                <c:pt idx="1">
                  <c:v>-641.5</c:v>
                </c:pt>
                <c:pt idx="2">
                  <c:v>-53</c:v>
                </c:pt>
                <c:pt idx="3">
                  <c:v>0</c:v>
                </c:pt>
              </c:numCache>
            </c:numRef>
          </c:xVal>
          <c:yVal>
            <c:numRef>
              <c:f>B!$L$21:$L$999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8C-4732-A731-E52B171D694E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-20920.5</c:v>
                </c:pt>
                <c:pt idx="1">
                  <c:v>-641.5</c:v>
                </c:pt>
                <c:pt idx="2">
                  <c:v>-53</c:v>
                </c:pt>
                <c:pt idx="3">
                  <c:v>0</c:v>
                </c:pt>
              </c:numCache>
            </c:numRef>
          </c:xVal>
          <c:yVal>
            <c:numRef>
              <c:f>B!$M$21:$M$999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8C-4732-A731-E52B171D694E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-20920.5</c:v>
                </c:pt>
                <c:pt idx="1">
                  <c:v>-641.5</c:v>
                </c:pt>
                <c:pt idx="2">
                  <c:v>-53</c:v>
                </c:pt>
                <c:pt idx="3">
                  <c:v>0</c:v>
                </c:pt>
              </c:numCache>
            </c:numRef>
          </c:xVal>
          <c:yVal>
            <c:numRef>
              <c:f>B!$N$21:$N$999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8C-4732-A731-E52B171D694E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B!$F$21:$F$999</c:f>
              <c:numCache>
                <c:formatCode>General</c:formatCode>
                <c:ptCount val="979"/>
                <c:pt idx="0">
                  <c:v>-20920.5</c:v>
                </c:pt>
                <c:pt idx="1">
                  <c:v>-641.5</c:v>
                </c:pt>
                <c:pt idx="2">
                  <c:v>-53</c:v>
                </c:pt>
                <c:pt idx="3">
                  <c:v>0</c:v>
                </c:pt>
              </c:numCache>
            </c:numRef>
          </c:xVal>
          <c:yVal>
            <c:numRef>
              <c:f>B!$O$21:$O$999</c:f>
              <c:numCache>
                <c:formatCode>General</c:formatCode>
                <c:ptCount val="979"/>
                <c:pt idx="0">
                  <c:v>1.3910960502529029E-12</c:v>
                </c:pt>
                <c:pt idx="1">
                  <c:v>4.3275702104948492E-12</c:v>
                </c:pt>
                <c:pt idx="2">
                  <c:v>4.4127871858537129E-12</c:v>
                </c:pt>
                <c:pt idx="3">
                  <c:v>4.420461781765386E-12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8C-4732-A731-E52B171D6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966232"/>
        <c:axId val="1"/>
      </c:scatterChart>
      <c:valAx>
        <c:axId val="574966232"/>
        <c:scaling>
          <c:orientation val="minMax"/>
          <c:max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966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0032327138429182"/>
          <c:y val="0.9204921861831491"/>
          <c:w val="0.9240717608198814"/>
          <c:h val="0.981654586754637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0</xdr:row>
      <xdr:rowOff>19050</xdr:rowOff>
    </xdr:from>
    <xdr:to>
      <xdr:col>18</xdr:col>
      <xdr:colOff>47625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3021FA7-82CA-57B5-DB4A-10B2A499A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628C5E63-3D8D-3E11-046B-F2ADD5CB8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2" TargetMode="External"/><Relationship Id="rId3" Type="http://schemas.openxmlformats.org/officeDocument/2006/relationships/hyperlink" Target="http://www.bav-astro.de/sfs/BAVM_link.php?BAVMnr=183" TargetMode="External"/><Relationship Id="rId7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93" TargetMode="External"/><Relationship Id="rId5" Type="http://schemas.openxmlformats.org/officeDocument/2006/relationships/hyperlink" Target="http://www.bav-astro.de/sfs/BAVM_link.php?BAVMnr=193" TargetMode="External"/><Relationship Id="rId4" Type="http://schemas.openxmlformats.org/officeDocument/2006/relationships/hyperlink" Target="http://www.bav-astro.de/sfs/BAVM_link.php?BAVMnr=183" TargetMode="External"/><Relationship Id="rId9" Type="http://schemas.openxmlformats.org/officeDocument/2006/relationships/hyperlink" Target="http://www.bav-astro.de/sfs/BAVM_link.php?BAVMnr=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52"/>
  <sheetViews>
    <sheetView tabSelected="1" workbookViewId="0">
      <selection activeCell="E9" sqref="E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32</v>
      </c>
    </row>
    <row r="2" spans="1:6" x14ac:dyDescent="0.2">
      <c r="A2" t="s">
        <v>25</v>
      </c>
      <c r="B2" t="s">
        <v>34</v>
      </c>
      <c r="C2" s="6"/>
      <c r="D2" s="6"/>
    </row>
    <row r="3" spans="1:6" ht="13.5" thickBot="1" x14ac:dyDescent="0.25">
      <c r="C3" s="25" t="s">
        <v>43</v>
      </c>
    </row>
    <row r="4" spans="1:6" ht="14.25" thickTop="1" thickBot="1" x14ac:dyDescent="0.25">
      <c r="A4" s="8" t="s">
        <v>0</v>
      </c>
      <c r="C4" s="13">
        <v>28369.445</v>
      </c>
      <c r="D4" s="14">
        <v>1.2252400000000001</v>
      </c>
    </row>
    <row r="5" spans="1:6" ht="13.5" thickTop="1" x14ac:dyDescent="0.2">
      <c r="A5" s="27" t="s">
        <v>35</v>
      </c>
      <c r="B5" s="28"/>
      <c r="C5" s="29">
        <v>-9.5</v>
      </c>
      <c r="D5" s="28" t="s">
        <v>36</v>
      </c>
    </row>
    <row r="6" spans="1:6" x14ac:dyDescent="0.2">
      <c r="A6" s="8" t="s">
        <v>1</v>
      </c>
    </row>
    <row r="7" spans="1:6" x14ac:dyDescent="0.2">
      <c r="A7" t="s">
        <v>2</v>
      </c>
      <c r="C7">
        <f>+C4</f>
        <v>28369.445</v>
      </c>
    </row>
    <row r="8" spans="1:6" x14ac:dyDescent="0.2">
      <c r="A8" t="s">
        <v>3</v>
      </c>
      <c r="C8">
        <f>+D4</f>
        <v>1.2252400000000001</v>
      </c>
    </row>
    <row r="9" spans="1:6" x14ac:dyDescent="0.2">
      <c r="A9" s="40" t="s">
        <v>44</v>
      </c>
      <c r="B9" s="41">
        <v>22</v>
      </c>
      <c r="C9" s="31" t="str">
        <f>"F"&amp;B9</f>
        <v>F22</v>
      </c>
      <c r="D9" s="32" t="str">
        <f>"G"&amp;B9</f>
        <v>G22</v>
      </c>
    </row>
    <row r="10" spans="1:6" ht="13.5" thickBot="1" x14ac:dyDescent="0.25">
      <c r="A10" s="28"/>
      <c r="B10" s="28"/>
      <c r="C10" s="7" t="s">
        <v>21</v>
      </c>
      <c r="D10" s="7" t="s">
        <v>22</v>
      </c>
      <c r="E10" s="28"/>
    </row>
    <row r="11" spans="1:6" x14ac:dyDescent="0.2">
      <c r="A11" s="28" t="s">
        <v>16</v>
      </c>
      <c r="B11" s="28"/>
      <c r="C11" s="30">
        <f ca="1">INTERCEPT(INDIRECT($D$9):G992,INDIRECT($C$9):F992)</f>
        <v>0.11981660186418218</v>
      </c>
      <c r="D11" s="6"/>
      <c r="E11" s="28"/>
    </row>
    <row r="12" spans="1:6" x14ac:dyDescent="0.2">
      <c r="A12" s="28" t="s">
        <v>17</v>
      </c>
      <c r="B12" s="28"/>
      <c r="C12" s="30">
        <f ca="1">SLOPE(INDIRECT($D$9):G992,INDIRECT($C$9):F992)</f>
        <v>-8.585508949746942E-6</v>
      </c>
      <c r="D12" s="6"/>
      <c r="E12" s="28"/>
    </row>
    <row r="13" spans="1:6" x14ac:dyDescent="0.2">
      <c r="A13" s="28" t="s">
        <v>20</v>
      </c>
      <c r="B13" s="28"/>
      <c r="C13" s="6" t="s">
        <v>14</v>
      </c>
    </row>
    <row r="14" spans="1:6" x14ac:dyDescent="0.2">
      <c r="A14" s="28"/>
      <c r="B14" s="28"/>
      <c r="C14" s="28"/>
    </row>
    <row r="15" spans="1:6" x14ac:dyDescent="0.2">
      <c r="A15" s="33" t="s">
        <v>18</v>
      </c>
      <c r="B15" s="28"/>
      <c r="C15" s="11">
        <f ca="1">(C7+C11)+(C8+C12)*INT(MAX(F21:F3533))</f>
        <v>57608.487292016289</v>
      </c>
      <c r="E15" s="34" t="s">
        <v>45</v>
      </c>
      <c r="F15" s="29">
        <v>1</v>
      </c>
    </row>
    <row r="16" spans="1:6" x14ac:dyDescent="0.2">
      <c r="A16" s="36" t="s">
        <v>4</v>
      </c>
      <c r="B16" s="28"/>
      <c r="C16" s="12">
        <f ca="1">+C8+C12</f>
        <v>1.2252314144910503</v>
      </c>
      <c r="E16" s="34" t="s">
        <v>37</v>
      </c>
      <c r="F16" s="35">
        <f ca="1">NOW()+15018.5+$C$5/24</f>
        <v>60320.732216550925</v>
      </c>
    </row>
    <row r="17" spans="1:18" ht="13.5" thickBot="1" x14ac:dyDescent="0.25">
      <c r="A17" s="34" t="s">
        <v>31</v>
      </c>
      <c r="B17" s="28"/>
      <c r="C17" s="28">
        <f>COUNT(C21:C2191)</f>
        <v>10</v>
      </c>
      <c r="E17" s="34" t="s">
        <v>46</v>
      </c>
      <c r="F17" s="35">
        <f ca="1">ROUND(2*(F16-$C$7)/$C$8,0)/2+F15</f>
        <v>26078.5</v>
      </c>
    </row>
    <row r="18" spans="1:18" ht="14.25" thickTop="1" thickBot="1" x14ac:dyDescent="0.25">
      <c r="A18" s="36" t="s">
        <v>5</v>
      </c>
      <c r="B18" s="28"/>
      <c r="C18" s="38">
        <f ca="1">+C15</f>
        <v>57608.487292016289</v>
      </c>
      <c r="D18" s="39">
        <f ca="1">+C16</f>
        <v>1.2252314144910503</v>
      </c>
      <c r="E18" s="34" t="s">
        <v>38</v>
      </c>
      <c r="F18" s="32">
        <f ca="1">ROUND(2*(F16-$C$15)/$C$16,0)/2+F15</f>
        <v>2214.5</v>
      </c>
    </row>
    <row r="19" spans="1:18" ht="13.5" thickTop="1" x14ac:dyDescent="0.2">
      <c r="E19" s="34" t="s">
        <v>39</v>
      </c>
      <c r="F19" s="37">
        <f ca="1">+$C$15+$C$16*F18-15018.5-$C$5/24</f>
        <v>45303.658092740057</v>
      </c>
    </row>
    <row r="20" spans="1:18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57</v>
      </c>
      <c r="I20" s="10" t="s">
        <v>60</v>
      </c>
      <c r="J20" s="10" t="s">
        <v>54</v>
      </c>
      <c r="K20" s="10" t="s">
        <v>52</v>
      </c>
      <c r="L20" s="10" t="s">
        <v>102</v>
      </c>
      <c r="M20" s="10" t="s">
        <v>103</v>
      </c>
      <c r="N20" s="10" t="s">
        <v>104</v>
      </c>
      <c r="O20" s="10" t="s">
        <v>24</v>
      </c>
      <c r="P20" s="9" t="s">
        <v>23</v>
      </c>
      <c r="Q20" s="7" t="s">
        <v>15</v>
      </c>
    </row>
    <row r="21" spans="1:18" x14ac:dyDescent="0.2">
      <c r="A21" t="s">
        <v>12</v>
      </c>
      <c r="B21" s="6"/>
      <c r="C21" s="18">
        <v>28369.445</v>
      </c>
      <c r="D21" s="18" t="s">
        <v>14</v>
      </c>
      <c r="E21">
        <f t="shared" ref="E21:E29" si="0">+(C21-C$7)/C$8</f>
        <v>0</v>
      </c>
      <c r="F21">
        <f t="shared" ref="F21:F30" si="1">ROUND(2*E21,0)/2</f>
        <v>0</v>
      </c>
      <c r="G21">
        <f t="shared" ref="G21:G29" si="2">+C21-(C$7+F21*C$8)</f>
        <v>0</v>
      </c>
      <c r="H21" s="26">
        <f>G21</f>
        <v>0</v>
      </c>
      <c r="O21">
        <f t="shared" ref="O21:O29" ca="1" si="3">+C$11+C$12*$F21</f>
        <v>0.11981660186418218</v>
      </c>
      <c r="Q21" s="2">
        <f t="shared" ref="Q21:Q29" si="4">+C21-15018.5</f>
        <v>13350.945</v>
      </c>
    </row>
    <row r="22" spans="1:18" x14ac:dyDescent="0.2">
      <c r="A22" s="16" t="s">
        <v>33</v>
      </c>
      <c r="B22" s="17"/>
      <c r="C22" s="18">
        <v>53215.4326</v>
      </c>
      <c r="D22" s="18">
        <v>2.0000000000000001E-4</v>
      </c>
      <c r="E22">
        <f t="shared" si="0"/>
        <v>20278.465933204923</v>
      </c>
      <c r="F22">
        <f t="shared" si="1"/>
        <v>20278.5</v>
      </c>
      <c r="G22">
        <f t="shared" si="2"/>
        <v>-4.1740000000572763E-2</v>
      </c>
      <c r="J22">
        <f>+G22</f>
        <v>-4.1740000000572763E-2</v>
      </c>
      <c r="O22">
        <f t="shared" ca="1" si="3"/>
        <v>-5.428464137326118E-2</v>
      </c>
      <c r="Q22" s="2">
        <f t="shared" si="4"/>
        <v>38196.9326</v>
      </c>
      <c r="R22" t="s">
        <v>54</v>
      </c>
    </row>
    <row r="23" spans="1:18" x14ac:dyDescent="0.2">
      <c r="A23" s="24" t="s">
        <v>41</v>
      </c>
      <c r="B23" s="17" t="s">
        <v>42</v>
      </c>
      <c r="C23" s="18">
        <v>53936.464999999997</v>
      </c>
      <c r="D23" s="18">
        <v>6.9999999999999999E-4</v>
      </c>
      <c r="E23">
        <f t="shared" si="0"/>
        <v>20866.948516209064</v>
      </c>
      <c r="F23">
        <f t="shared" si="1"/>
        <v>20867</v>
      </c>
      <c r="G23">
        <f t="shared" si="2"/>
        <v>-6.308000000717584E-2</v>
      </c>
      <c r="J23">
        <f>+G23</f>
        <v>-6.308000000717584E-2</v>
      </c>
      <c r="O23">
        <f t="shared" ca="1" si="3"/>
        <v>-5.9337213390187257E-2</v>
      </c>
      <c r="Q23" s="2">
        <f t="shared" si="4"/>
        <v>38917.964999999997</v>
      </c>
      <c r="R23" t="s">
        <v>54</v>
      </c>
    </row>
    <row r="24" spans="1:18" x14ac:dyDescent="0.2">
      <c r="A24" s="24" t="s">
        <v>41</v>
      </c>
      <c r="B24" s="17" t="s">
        <v>42</v>
      </c>
      <c r="C24" s="18">
        <v>54001.404399999999</v>
      </c>
      <c r="D24" s="18">
        <v>1.4E-3</v>
      </c>
      <c r="E24">
        <f t="shared" si="0"/>
        <v>20919.949887369003</v>
      </c>
      <c r="F24">
        <f t="shared" si="1"/>
        <v>20920</v>
      </c>
      <c r="G24">
        <f t="shared" si="2"/>
        <v>-6.1400000005960464E-2</v>
      </c>
      <c r="J24">
        <f>+G24</f>
        <v>-6.1400000005960464E-2</v>
      </c>
      <c r="O24">
        <f t="shared" ca="1" si="3"/>
        <v>-5.9792245364523836E-2</v>
      </c>
      <c r="Q24" s="2">
        <f t="shared" si="4"/>
        <v>38982.904399999999</v>
      </c>
      <c r="R24" t="s">
        <v>54</v>
      </c>
    </row>
    <row r="25" spans="1:18" x14ac:dyDescent="0.2">
      <c r="A25" t="s">
        <v>82</v>
      </c>
      <c r="B25" s="6" t="s">
        <v>48</v>
      </c>
      <c r="C25" s="18">
        <v>54314.443599999999</v>
      </c>
      <c r="D25" s="18" t="s">
        <v>60</v>
      </c>
      <c r="E25">
        <f t="shared" si="0"/>
        <v>21175.442035846037</v>
      </c>
      <c r="F25">
        <f t="shared" si="1"/>
        <v>21175.5</v>
      </c>
      <c r="G25">
        <f t="shared" si="2"/>
        <v>-7.1020000003045425E-2</v>
      </c>
      <c r="K25">
        <f>+G25</f>
        <v>-7.1020000003045425E-2</v>
      </c>
      <c r="O25">
        <f t="shared" ca="1" si="3"/>
        <v>-6.1985842901184182E-2</v>
      </c>
      <c r="Q25" s="2">
        <f t="shared" si="4"/>
        <v>39295.943599999999</v>
      </c>
    </row>
    <row r="26" spans="1:18" x14ac:dyDescent="0.2">
      <c r="A26" t="s">
        <v>82</v>
      </c>
      <c r="B26" s="6" t="s">
        <v>42</v>
      </c>
      <c r="C26" s="18">
        <v>54382.451200000003</v>
      </c>
      <c r="D26" s="18" t="s">
        <v>60</v>
      </c>
      <c r="E26">
        <f t="shared" si="0"/>
        <v>21230.94756945578</v>
      </c>
      <c r="F26">
        <f t="shared" si="1"/>
        <v>21231</v>
      </c>
      <c r="G26">
        <f t="shared" si="2"/>
        <v>-6.4239999999699648E-2</v>
      </c>
      <c r="K26">
        <f>+G26</f>
        <v>-6.4239999999699648E-2</v>
      </c>
      <c r="O26">
        <f t="shared" ca="1" si="3"/>
        <v>-6.2462338647895146E-2</v>
      </c>
      <c r="Q26" s="2">
        <f t="shared" si="4"/>
        <v>39363.951200000003</v>
      </c>
    </row>
    <row r="27" spans="1:18" x14ac:dyDescent="0.2">
      <c r="A27" t="s">
        <v>91</v>
      </c>
      <c r="B27" s="6" t="s">
        <v>42</v>
      </c>
      <c r="C27" s="18">
        <v>54703.462399999997</v>
      </c>
      <c r="D27" s="18" t="s">
        <v>60</v>
      </c>
      <c r="E27">
        <f t="shared" si="0"/>
        <v>21492.946198295838</v>
      </c>
      <c r="F27">
        <f t="shared" si="1"/>
        <v>21493</v>
      </c>
      <c r="G27">
        <f t="shared" si="2"/>
        <v>-6.5920000000915024E-2</v>
      </c>
      <c r="K27">
        <f>+G27</f>
        <v>-6.5920000000915024E-2</v>
      </c>
      <c r="O27">
        <f t="shared" ca="1" si="3"/>
        <v>-6.4711741992728847E-2</v>
      </c>
      <c r="Q27" s="2">
        <f t="shared" si="4"/>
        <v>39684.962399999997</v>
      </c>
    </row>
    <row r="28" spans="1:18" x14ac:dyDescent="0.2">
      <c r="A28" t="s">
        <v>96</v>
      </c>
      <c r="B28" s="6" t="s">
        <v>42</v>
      </c>
      <c r="C28" s="18">
        <v>55067.359199999999</v>
      </c>
      <c r="D28" s="18" t="s">
        <v>60</v>
      </c>
      <c r="E28">
        <f t="shared" si="0"/>
        <v>21789.94662270249</v>
      </c>
      <c r="F28">
        <f t="shared" si="1"/>
        <v>21790</v>
      </c>
      <c r="G28">
        <f t="shared" si="2"/>
        <v>-6.5399999999499414E-2</v>
      </c>
      <c r="K28">
        <f>+G28</f>
        <v>-6.5399999999499414E-2</v>
      </c>
      <c r="O28">
        <f t="shared" ca="1" si="3"/>
        <v>-6.7261638150803674E-2</v>
      </c>
      <c r="Q28" s="2">
        <f t="shared" si="4"/>
        <v>40048.859199999999</v>
      </c>
    </row>
    <row r="29" spans="1:18" x14ac:dyDescent="0.2">
      <c r="A29" s="42" t="s">
        <v>47</v>
      </c>
      <c r="B29" s="43" t="s">
        <v>48</v>
      </c>
      <c r="C29" s="42">
        <v>55353.448299999996</v>
      </c>
      <c r="D29" s="42" t="s">
        <v>49</v>
      </c>
      <c r="E29">
        <f t="shared" si="0"/>
        <v>22023.442998922656</v>
      </c>
      <c r="F29">
        <f t="shared" si="1"/>
        <v>22023.5</v>
      </c>
      <c r="G29">
        <f t="shared" si="2"/>
        <v>-6.9840000003750902E-2</v>
      </c>
      <c r="J29">
        <f>+G29</f>
        <v>-6.9840000003750902E-2</v>
      </c>
      <c r="O29">
        <f t="shared" ca="1" si="3"/>
        <v>-6.9266354490569601E-2</v>
      </c>
      <c r="Q29" s="2">
        <f t="shared" si="4"/>
        <v>40334.948299999996</v>
      </c>
      <c r="R29" t="s">
        <v>54</v>
      </c>
    </row>
    <row r="30" spans="1:18" x14ac:dyDescent="0.2">
      <c r="A30" s="58" t="s">
        <v>105</v>
      </c>
      <c r="B30" s="59" t="s">
        <v>42</v>
      </c>
      <c r="C30" s="60">
        <v>57608.490830000002</v>
      </c>
      <c r="D30" s="60">
        <v>1E-4</v>
      </c>
      <c r="E30">
        <f>+(C30-C$7)/C$8</f>
        <v>23863.933457934771</v>
      </c>
      <c r="F30">
        <f t="shared" si="1"/>
        <v>23864</v>
      </c>
      <c r="G30">
        <f>+C30-(C$7+F30*C$8)</f>
        <v>-8.1530000003112946E-2</v>
      </c>
      <c r="K30">
        <f>+G30</f>
        <v>-8.1530000003112946E-2</v>
      </c>
      <c r="O30">
        <f ca="1">+C$11+C$12*$F30</f>
        <v>-8.5067983712578857E-2</v>
      </c>
      <c r="Q30" s="2">
        <f>+C30-15018.5</f>
        <v>42589.990830000002</v>
      </c>
      <c r="R30" t="s">
        <v>52</v>
      </c>
    </row>
    <row r="31" spans="1:18" x14ac:dyDescent="0.2">
      <c r="B31" s="57"/>
      <c r="D31" s="6"/>
      <c r="Q31" s="2"/>
    </row>
    <row r="32" spans="1:18" x14ac:dyDescent="0.2">
      <c r="B32" s="57"/>
      <c r="D32" s="6"/>
      <c r="Q32" s="2"/>
    </row>
    <row r="33" spans="2:17" x14ac:dyDescent="0.2">
      <c r="B33" s="57"/>
      <c r="D33" s="6"/>
      <c r="Q33" s="2"/>
    </row>
    <row r="34" spans="2:17" x14ac:dyDescent="0.2">
      <c r="D34" s="6"/>
    </row>
    <row r="35" spans="2:17" x14ac:dyDescent="0.2">
      <c r="D35" s="6"/>
    </row>
    <row r="36" spans="2:17" x14ac:dyDescent="0.2">
      <c r="D36" s="6"/>
    </row>
    <row r="37" spans="2:17" x14ac:dyDescent="0.2">
      <c r="D37" s="6"/>
    </row>
    <row r="38" spans="2:17" x14ac:dyDescent="0.2">
      <c r="D38" s="6"/>
    </row>
    <row r="39" spans="2:17" x14ac:dyDescent="0.2">
      <c r="D39" s="6"/>
    </row>
    <row r="40" spans="2:17" x14ac:dyDescent="0.2">
      <c r="D40" s="6"/>
    </row>
    <row r="41" spans="2:17" x14ac:dyDescent="0.2">
      <c r="D41" s="6"/>
    </row>
    <row r="42" spans="2:17" x14ac:dyDescent="0.2">
      <c r="D42" s="6"/>
    </row>
    <row r="43" spans="2:17" x14ac:dyDescent="0.2">
      <c r="D43" s="6"/>
    </row>
    <row r="44" spans="2:17" x14ac:dyDescent="0.2">
      <c r="D44" s="6"/>
    </row>
    <row r="45" spans="2:17" x14ac:dyDescent="0.2">
      <c r="D45" s="6"/>
    </row>
    <row r="46" spans="2:17" x14ac:dyDescent="0.2">
      <c r="D46" s="6"/>
    </row>
    <row r="47" spans="2:17" x14ac:dyDescent="0.2">
      <c r="D47" s="6"/>
    </row>
    <row r="48" spans="2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phoneticPr fontId="7" type="noConversion"/>
  <hyperlinks>
    <hyperlink ref="H3378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M28" sqref="M2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 x14ac:dyDescent="0.3">
      <c r="A1" s="1" t="s">
        <v>32</v>
      </c>
    </row>
    <row r="2" spans="1:5" x14ac:dyDescent="0.2">
      <c r="A2" t="s">
        <v>25</v>
      </c>
      <c r="B2" t="s">
        <v>34</v>
      </c>
      <c r="C2" s="6"/>
      <c r="D2" s="6"/>
    </row>
    <row r="3" spans="1:5" ht="13.5" thickBot="1" x14ac:dyDescent="0.25">
      <c r="C3" s="25" t="s">
        <v>43</v>
      </c>
    </row>
    <row r="4" spans="1:5" ht="14.25" thickTop="1" thickBot="1" x14ac:dyDescent="0.25">
      <c r="A4" s="8" t="s">
        <v>0</v>
      </c>
      <c r="C4" s="13">
        <v>28369.445</v>
      </c>
      <c r="D4" s="14">
        <v>1.2252400000000001</v>
      </c>
    </row>
    <row r="6" spans="1:5" x14ac:dyDescent="0.2">
      <c r="A6" s="8" t="s">
        <v>1</v>
      </c>
    </row>
    <row r="7" spans="1:5" x14ac:dyDescent="0.2">
      <c r="A7" t="s">
        <v>2</v>
      </c>
      <c r="C7">
        <v>54001.402915517334</v>
      </c>
    </row>
    <row r="8" spans="1:5" x14ac:dyDescent="0.2">
      <c r="A8" t="s">
        <v>3</v>
      </c>
      <c r="C8">
        <v>1.2252077104820429</v>
      </c>
    </row>
    <row r="9" spans="1:5" x14ac:dyDescent="0.2">
      <c r="A9" s="19" t="s">
        <v>35</v>
      </c>
      <c r="C9" s="20">
        <v>8</v>
      </c>
      <c r="D9" t="s">
        <v>36</v>
      </c>
    </row>
    <row r="10" spans="1:5" ht="13.5" thickBot="1" x14ac:dyDescent="0.25">
      <c r="C10" s="7" t="s">
        <v>21</v>
      </c>
      <c r="D10" s="7" t="s">
        <v>22</v>
      </c>
    </row>
    <row r="11" spans="1:5" x14ac:dyDescent="0.2">
      <c r="A11" t="s">
        <v>16</v>
      </c>
      <c r="C11">
        <f>INTERCEPT(G21:G98,F21:F98)</f>
        <v>4.420461781765386E-12</v>
      </c>
      <c r="D11" s="6"/>
    </row>
    <row r="12" spans="1:5" x14ac:dyDescent="0.2">
      <c r="A12" t="s">
        <v>17</v>
      </c>
      <c r="C12">
        <f>SLOPE(G21:G98,F21:F98)</f>
        <v>1.4480369644666633E-16</v>
      </c>
      <c r="D12" s="6"/>
    </row>
    <row r="13" spans="1:5" x14ac:dyDescent="0.2">
      <c r="A13" t="s">
        <v>20</v>
      </c>
      <c r="C13" s="6" t="s">
        <v>14</v>
      </c>
      <c r="D13" s="6"/>
    </row>
    <row r="15" spans="1:5" x14ac:dyDescent="0.2">
      <c r="A15" s="3" t="s">
        <v>18</v>
      </c>
      <c r="C15" s="11">
        <f>(C7+C11)+(C8+C12)*INT(MAX(F21:F3533))</f>
        <v>54001.402915517341</v>
      </c>
      <c r="D15" s="15" t="s">
        <v>37</v>
      </c>
      <c r="E15" s="21">
        <f ca="1">TODAY()+15018.5-B9/24</f>
        <v>60320.5</v>
      </c>
    </row>
    <row r="16" spans="1:5" x14ac:dyDescent="0.2">
      <c r="A16" s="8" t="s">
        <v>4</v>
      </c>
      <c r="C16" s="12">
        <f>+C8+C12</f>
        <v>1.2252077104820431</v>
      </c>
      <c r="D16" s="15" t="s">
        <v>38</v>
      </c>
      <c r="E16" s="21">
        <f ca="1">ROUND(2*(E15-C15)/C16,0)/2+1</f>
        <v>5158.5</v>
      </c>
    </row>
    <row r="17" spans="1:17" ht="13.5" thickBot="1" x14ac:dyDescent="0.25">
      <c r="A17" s="15" t="s">
        <v>31</v>
      </c>
      <c r="C17">
        <f>COUNT(C21:C2191)</f>
        <v>4</v>
      </c>
      <c r="D17" s="15" t="s">
        <v>39</v>
      </c>
      <c r="E17" s="22">
        <f ca="1">+C15+C16*E16-15018.5-C9/24</f>
        <v>45302.803556705629</v>
      </c>
    </row>
    <row r="18" spans="1:17" ht="14.25" thickTop="1" thickBot="1" x14ac:dyDescent="0.25">
      <c r="A18" s="8" t="s">
        <v>5</v>
      </c>
      <c r="C18" s="4">
        <f>+C15</f>
        <v>54001.402915517341</v>
      </c>
      <c r="D18" s="5">
        <f>+C16</f>
        <v>1.2252077104820431</v>
      </c>
      <c r="E18" s="23" t="s">
        <v>40</v>
      </c>
    </row>
    <row r="19" spans="1:17" ht="13.5" thickTop="1" x14ac:dyDescent="0.2"/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30</v>
      </c>
      <c r="J20" s="10" t="s">
        <v>19</v>
      </c>
      <c r="K20" s="10" t="s">
        <v>26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17" x14ac:dyDescent="0.2">
      <c r="A21" t="s">
        <v>12</v>
      </c>
      <c r="C21" s="18">
        <v>28369.445</v>
      </c>
      <c r="D21" s="18" t="s">
        <v>14</v>
      </c>
      <c r="E21">
        <f>+(C21-C$7)/C$8</f>
        <v>-20920.500006837825</v>
      </c>
      <c r="F21">
        <f>ROUND(2*E21,0)/2</f>
        <v>-20920.5</v>
      </c>
      <c r="G21">
        <f>+C21-(C$7+F21*C$8)</f>
        <v>-8.3777558756992221E-6</v>
      </c>
      <c r="H21" s="26">
        <f>G21</f>
        <v>-8.3777558756992221E-6</v>
      </c>
      <c r="O21">
        <f>+C$11+C$12*$F21</f>
        <v>1.3910960502529029E-12</v>
      </c>
      <c r="Q21" s="2">
        <f>+C21-15018.5</f>
        <v>13350.945</v>
      </c>
    </row>
    <row r="22" spans="1:17" x14ac:dyDescent="0.2">
      <c r="A22" s="16" t="s">
        <v>33</v>
      </c>
      <c r="B22" s="17"/>
      <c r="C22" s="18">
        <v>53215.4326</v>
      </c>
      <c r="D22" s="18">
        <v>2.0000000000000001E-4</v>
      </c>
      <c r="E22">
        <f>+(C22-C$7)/C$8</f>
        <v>-641.49964842133045</v>
      </c>
      <c r="F22">
        <f>ROUND(2*E22,0)/2</f>
        <v>-641.5</v>
      </c>
      <c r="G22">
        <f>+C22-(C$7+F22*C$8)</f>
        <v>4.307568960939534E-4</v>
      </c>
      <c r="I22">
        <f>+G22</f>
        <v>4.307568960939534E-4</v>
      </c>
      <c r="O22">
        <f>+C$11+C$12*$F22</f>
        <v>4.3275702104948492E-12</v>
      </c>
      <c r="Q22" s="2">
        <f>+C22-15018.5</f>
        <v>38196.9326</v>
      </c>
    </row>
    <row r="23" spans="1:17" x14ac:dyDescent="0.2">
      <c r="A23" s="24" t="s">
        <v>41</v>
      </c>
      <c r="B23" s="17" t="s">
        <v>42</v>
      </c>
      <c r="C23" s="18">
        <v>53936.464999999997</v>
      </c>
      <c r="D23" s="18">
        <v>6.9999999999999999E-4</v>
      </c>
      <c r="E23">
        <f>+(C23-C$7)/C$8</f>
        <v>-53.001556357973264</v>
      </c>
      <c r="F23">
        <f>ROUND(2*E23,0)/2</f>
        <v>-53</v>
      </c>
      <c r="G23">
        <f>+C23-(C$7+F23*C$8)</f>
        <v>-1.9068617912125774E-3</v>
      </c>
      <c r="I23">
        <f>+G23</f>
        <v>-1.9068617912125774E-3</v>
      </c>
      <c r="O23">
        <f>+C$11+C$12*$F23</f>
        <v>4.4127871858537129E-12</v>
      </c>
      <c r="Q23" s="2">
        <f>+C23-15018.5</f>
        <v>38917.964999999997</v>
      </c>
    </row>
    <row r="24" spans="1:17" x14ac:dyDescent="0.2">
      <c r="A24" s="24" t="s">
        <v>41</v>
      </c>
      <c r="B24" s="17" t="s">
        <v>42</v>
      </c>
      <c r="C24" s="18">
        <v>54001.404399999999</v>
      </c>
      <c r="D24" s="18">
        <v>1.4E-3</v>
      </c>
      <c r="E24">
        <f>+(C24-C$7)/C$8</f>
        <v>1.2116171428289387E-3</v>
      </c>
      <c r="F24">
        <f>ROUND(2*E24,0)/2</f>
        <v>0</v>
      </c>
      <c r="G24">
        <f>+C24-(C$7+F24*C$8)</f>
        <v>1.4844826655462384E-3</v>
      </c>
      <c r="I24">
        <f>+G24</f>
        <v>1.4844826655462384E-3</v>
      </c>
      <c r="O24">
        <f>+C$11+C$12*$F24</f>
        <v>4.420461781765386E-12</v>
      </c>
      <c r="Q24" s="2">
        <f>+C24-15018.5</f>
        <v>38982.904399999999</v>
      </c>
    </row>
    <row r="25" spans="1:17" x14ac:dyDescent="0.2">
      <c r="D25" s="6"/>
      <c r="Q25" s="2"/>
    </row>
    <row r="26" spans="1:17" x14ac:dyDescent="0.2">
      <c r="D26" s="6"/>
      <c r="Q26" s="2"/>
    </row>
    <row r="27" spans="1:17" x14ac:dyDescent="0.2">
      <c r="D27" s="6"/>
      <c r="Q27" s="2"/>
    </row>
    <row r="28" spans="1:17" x14ac:dyDescent="0.2">
      <c r="D28" s="6"/>
      <c r="Q28" s="2"/>
    </row>
    <row r="29" spans="1:17" x14ac:dyDescent="0.2">
      <c r="D29" s="6"/>
      <c r="Q29" s="2"/>
    </row>
    <row r="30" spans="1:17" x14ac:dyDescent="0.2">
      <c r="D30" s="6"/>
      <c r="Q30" s="2"/>
    </row>
    <row r="31" spans="1:17" x14ac:dyDescent="0.2">
      <c r="D31" s="6"/>
      <c r="Q31" s="2"/>
    </row>
    <row r="32" spans="1:17" x14ac:dyDescent="0.2">
      <c r="D32" s="6"/>
      <c r="Q32" s="2"/>
    </row>
    <row r="33" spans="4:17" x14ac:dyDescent="0.2">
      <c r="D33" s="6"/>
      <c r="Q33" s="2"/>
    </row>
    <row r="34" spans="4:17" x14ac:dyDescent="0.2">
      <c r="D34" s="6"/>
    </row>
    <row r="35" spans="4:17" x14ac:dyDescent="0.2">
      <c r="D35" s="6"/>
    </row>
    <row r="36" spans="4:17" x14ac:dyDescent="0.2">
      <c r="D36" s="6"/>
    </row>
    <row r="37" spans="4:17" x14ac:dyDescent="0.2">
      <c r="D37" s="6"/>
    </row>
    <row r="38" spans="4:17" x14ac:dyDescent="0.2">
      <c r="D38" s="6"/>
    </row>
    <row r="39" spans="4:17" x14ac:dyDescent="0.2">
      <c r="D39" s="6"/>
    </row>
    <row r="40" spans="4:17" x14ac:dyDescent="0.2">
      <c r="D40" s="6"/>
    </row>
    <row r="41" spans="4:17" x14ac:dyDescent="0.2">
      <c r="D41" s="6"/>
    </row>
    <row r="42" spans="4:17" x14ac:dyDescent="0.2">
      <c r="D42" s="6"/>
    </row>
    <row r="43" spans="4:17" x14ac:dyDescent="0.2">
      <c r="D43" s="6"/>
    </row>
    <row r="44" spans="4:17" x14ac:dyDescent="0.2">
      <c r="D44" s="6"/>
    </row>
    <row r="45" spans="4:17" x14ac:dyDescent="0.2">
      <c r="D45" s="6"/>
    </row>
    <row r="46" spans="4:17" x14ac:dyDescent="0.2">
      <c r="D46" s="6"/>
    </row>
    <row r="47" spans="4:17" x14ac:dyDescent="0.2">
      <c r="D47" s="6"/>
    </row>
    <row r="48" spans="4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2"/>
  <sheetViews>
    <sheetView workbookViewId="0">
      <selection activeCell="A14" sqref="A14:D17"/>
    </sheetView>
  </sheetViews>
  <sheetFormatPr defaultRowHeight="12.75" x14ac:dyDescent="0.2"/>
  <cols>
    <col min="1" max="1" width="19.7109375" style="18" customWidth="1"/>
    <col min="2" max="2" width="4.42578125" style="28" customWidth="1"/>
    <col min="3" max="3" width="12.7109375" style="18" customWidth="1"/>
    <col min="4" max="4" width="5.42578125" style="28" customWidth="1"/>
    <col min="5" max="5" width="14.85546875" style="28" customWidth="1"/>
    <col min="6" max="6" width="9.140625" style="28"/>
    <col min="7" max="7" width="12" style="28" customWidth="1"/>
    <col min="8" max="8" width="14.140625" style="18" customWidth="1"/>
    <col min="9" max="9" width="22.5703125" style="28" customWidth="1"/>
    <col min="10" max="10" width="25.140625" style="28" customWidth="1"/>
    <col min="11" max="11" width="15.7109375" style="28" customWidth="1"/>
    <col min="12" max="12" width="14.140625" style="28" customWidth="1"/>
    <col min="13" max="13" width="9.5703125" style="28" customWidth="1"/>
    <col min="14" max="14" width="14.140625" style="28" customWidth="1"/>
    <col min="15" max="15" width="23.42578125" style="28" customWidth="1"/>
    <col min="16" max="16" width="16.5703125" style="28" customWidth="1"/>
    <col min="17" max="17" width="41" style="28" customWidth="1"/>
    <col min="18" max="16384" width="9.140625" style="28"/>
  </cols>
  <sheetData>
    <row r="1" spans="1:16" ht="15.75" x14ac:dyDescent="0.25">
      <c r="A1" s="44" t="s">
        <v>50</v>
      </c>
      <c r="I1" s="45" t="s">
        <v>51</v>
      </c>
      <c r="J1" s="46" t="s">
        <v>52</v>
      </c>
    </row>
    <row r="2" spans="1:16" x14ac:dyDescent="0.2">
      <c r="I2" s="47" t="s">
        <v>53</v>
      </c>
      <c r="J2" s="48" t="s">
        <v>54</v>
      </c>
    </row>
    <row r="3" spans="1:16" x14ac:dyDescent="0.2">
      <c r="A3" s="49" t="s">
        <v>55</v>
      </c>
      <c r="I3" s="47" t="s">
        <v>56</v>
      </c>
      <c r="J3" s="48" t="s">
        <v>57</v>
      </c>
    </row>
    <row r="4" spans="1:16" x14ac:dyDescent="0.2">
      <c r="I4" s="47" t="s">
        <v>58</v>
      </c>
      <c r="J4" s="48" t="s">
        <v>57</v>
      </c>
    </row>
    <row r="5" spans="1:16" ht="13.5" thickBot="1" x14ac:dyDescent="0.25">
      <c r="I5" s="50" t="s">
        <v>59</v>
      </c>
      <c r="J5" s="51" t="s">
        <v>60</v>
      </c>
    </row>
    <row r="10" spans="1:16" ht="13.5" thickBot="1" x14ac:dyDescent="0.25"/>
    <row r="11" spans="1:16" ht="12.75" customHeight="1" thickBot="1" x14ac:dyDescent="0.25">
      <c r="A11" s="18" t="str">
        <f t="shared" ref="A11:A18" si="0">P11</f>
        <v>BAVM 173 </v>
      </c>
      <c r="B11" s="6" t="str">
        <f t="shared" ref="B11:B18" si="1">IF(H11=INT(H11),"I","II")</f>
        <v>II</v>
      </c>
      <c r="C11" s="18">
        <f t="shared" ref="C11:C18" si="2">1*G11</f>
        <v>53215.4326</v>
      </c>
      <c r="D11" s="28" t="str">
        <f t="shared" ref="D11:D18" si="3">VLOOKUP(F11,I$1:J$5,2,FALSE)</f>
        <v>vis</v>
      </c>
      <c r="E11" s="52">
        <f>VLOOKUP(C11,Active!C$21:E$973,3,FALSE)</f>
        <v>20278.465933204923</v>
      </c>
      <c r="F11" s="6" t="s">
        <v>59</v>
      </c>
      <c r="G11" s="28" t="str">
        <f t="shared" ref="G11:G18" si="4">MID(I11,3,LEN(I11)-3)</f>
        <v>53215.4326</v>
      </c>
      <c r="H11" s="18">
        <f t="shared" ref="H11:H18" si="5">1*K11</f>
        <v>-1511.5</v>
      </c>
      <c r="I11" s="53" t="s">
        <v>61</v>
      </c>
      <c r="J11" s="54" t="s">
        <v>62</v>
      </c>
      <c r="K11" s="53">
        <v>-1511.5</v>
      </c>
      <c r="L11" s="53" t="s">
        <v>63</v>
      </c>
      <c r="M11" s="54" t="s">
        <v>64</v>
      </c>
      <c r="N11" s="54" t="s">
        <v>65</v>
      </c>
      <c r="O11" s="55" t="s">
        <v>66</v>
      </c>
      <c r="P11" s="56" t="s">
        <v>67</v>
      </c>
    </row>
    <row r="12" spans="1:16" ht="12.75" customHeight="1" thickBot="1" x14ac:dyDescent="0.25">
      <c r="A12" s="18" t="str">
        <f t="shared" si="0"/>
        <v>BAVM 183 </v>
      </c>
      <c r="B12" s="6" t="str">
        <f t="shared" si="1"/>
        <v>I</v>
      </c>
      <c r="C12" s="18">
        <f t="shared" si="2"/>
        <v>53936.464999999997</v>
      </c>
      <c r="D12" s="28" t="str">
        <f t="shared" si="3"/>
        <v>vis</v>
      </c>
      <c r="E12" s="52">
        <f>VLOOKUP(C12,Active!C$21:E$973,3,FALSE)</f>
        <v>20866.948516209064</v>
      </c>
      <c r="F12" s="6" t="s">
        <v>59</v>
      </c>
      <c r="G12" s="28" t="str">
        <f t="shared" si="4"/>
        <v>53936.4650</v>
      </c>
      <c r="H12" s="18">
        <f t="shared" si="5"/>
        <v>-923</v>
      </c>
      <c r="I12" s="53" t="s">
        <v>68</v>
      </c>
      <c r="J12" s="54" t="s">
        <v>69</v>
      </c>
      <c r="K12" s="53">
        <v>-923</v>
      </c>
      <c r="L12" s="53" t="s">
        <v>70</v>
      </c>
      <c r="M12" s="54" t="s">
        <v>71</v>
      </c>
      <c r="N12" s="54" t="s">
        <v>72</v>
      </c>
      <c r="O12" s="55" t="s">
        <v>66</v>
      </c>
      <c r="P12" s="56" t="s">
        <v>73</v>
      </c>
    </row>
    <row r="13" spans="1:16" ht="12.75" customHeight="1" thickBot="1" x14ac:dyDescent="0.25">
      <c r="A13" s="18" t="str">
        <f t="shared" si="0"/>
        <v>BAVM 183 </v>
      </c>
      <c r="B13" s="6" t="str">
        <f t="shared" si="1"/>
        <v>I</v>
      </c>
      <c r="C13" s="18">
        <f t="shared" si="2"/>
        <v>54001.404399999999</v>
      </c>
      <c r="D13" s="28" t="str">
        <f t="shared" si="3"/>
        <v>vis</v>
      </c>
      <c r="E13" s="52">
        <f>VLOOKUP(C13,Active!C$21:E$973,3,FALSE)</f>
        <v>20919.949887369003</v>
      </c>
      <c r="F13" s="6" t="s">
        <v>59</v>
      </c>
      <c r="G13" s="28" t="str">
        <f t="shared" si="4"/>
        <v>54001.4044</v>
      </c>
      <c r="H13" s="18">
        <f t="shared" si="5"/>
        <v>-870</v>
      </c>
      <c r="I13" s="53" t="s">
        <v>74</v>
      </c>
      <c r="J13" s="54" t="s">
        <v>75</v>
      </c>
      <c r="K13" s="53" t="s">
        <v>76</v>
      </c>
      <c r="L13" s="53" t="s">
        <v>77</v>
      </c>
      <c r="M13" s="54" t="s">
        <v>71</v>
      </c>
      <c r="N13" s="54" t="s">
        <v>72</v>
      </c>
      <c r="O13" s="55" t="s">
        <v>66</v>
      </c>
      <c r="P13" s="56" t="s">
        <v>73</v>
      </c>
    </row>
    <row r="14" spans="1:16" ht="12.75" customHeight="1" thickBot="1" x14ac:dyDescent="0.25">
      <c r="A14" s="18" t="str">
        <f t="shared" si="0"/>
        <v>BAVM 193 </v>
      </c>
      <c r="B14" s="6" t="str">
        <f t="shared" si="1"/>
        <v>II</v>
      </c>
      <c r="C14" s="18">
        <f t="shared" si="2"/>
        <v>54314.443599999999</v>
      </c>
      <c r="D14" s="28" t="str">
        <f t="shared" si="3"/>
        <v>vis</v>
      </c>
      <c r="E14" s="52">
        <f>VLOOKUP(C14,Active!C$21:E$973,3,FALSE)</f>
        <v>21175.442035846037</v>
      </c>
      <c r="F14" s="6" t="s">
        <v>59</v>
      </c>
      <c r="G14" s="28" t="str">
        <f t="shared" si="4"/>
        <v>54314.4436</v>
      </c>
      <c r="H14" s="18">
        <f t="shared" si="5"/>
        <v>-614.5</v>
      </c>
      <c r="I14" s="53" t="s">
        <v>78</v>
      </c>
      <c r="J14" s="54" t="s">
        <v>79</v>
      </c>
      <c r="K14" s="53" t="s">
        <v>80</v>
      </c>
      <c r="L14" s="53" t="s">
        <v>81</v>
      </c>
      <c r="M14" s="54" t="s">
        <v>71</v>
      </c>
      <c r="N14" s="54" t="s">
        <v>72</v>
      </c>
      <c r="O14" s="55" t="s">
        <v>66</v>
      </c>
      <c r="P14" s="56" t="s">
        <v>82</v>
      </c>
    </row>
    <row r="15" spans="1:16" ht="12.75" customHeight="1" thickBot="1" x14ac:dyDescent="0.25">
      <c r="A15" s="18" t="str">
        <f t="shared" si="0"/>
        <v>BAVM 193 </v>
      </c>
      <c r="B15" s="6" t="str">
        <f t="shared" si="1"/>
        <v>I</v>
      </c>
      <c r="C15" s="18">
        <f t="shared" si="2"/>
        <v>54382.451200000003</v>
      </c>
      <c r="D15" s="28" t="str">
        <f t="shared" si="3"/>
        <v>vis</v>
      </c>
      <c r="E15" s="52">
        <f>VLOOKUP(C15,Active!C$21:E$973,3,FALSE)</f>
        <v>21230.94756945578</v>
      </c>
      <c r="F15" s="6" t="s">
        <v>59</v>
      </c>
      <c r="G15" s="28" t="str">
        <f t="shared" si="4"/>
        <v>54382.4512</v>
      </c>
      <c r="H15" s="18">
        <f t="shared" si="5"/>
        <v>-559</v>
      </c>
      <c r="I15" s="53" t="s">
        <v>83</v>
      </c>
      <c r="J15" s="54" t="s">
        <v>84</v>
      </c>
      <c r="K15" s="53" t="s">
        <v>85</v>
      </c>
      <c r="L15" s="53" t="s">
        <v>86</v>
      </c>
      <c r="M15" s="54" t="s">
        <v>71</v>
      </c>
      <c r="N15" s="54" t="s">
        <v>72</v>
      </c>
      <c r="O15" s="55" t="s">
        <v>66</v>
      </c>
      <c r="P15" s="56" t="s">
        <v>82</v>
      </c>
    </row>
    <row r="16" spans="1:16" ht="12.75" customHeight="1" thickBot="1" x14ac:dyDescent="0.25">
      <c r="A16" s="18" t="str">
        <f t="shared" si="0"/>
        <v>BAVM 203 </v>
      </c>
      <c r="B16" s="6" t="str">
        <f t="shared" si="1"/>
        <v>I</v>
      </c>
      <c r="C16" s="18">
        <f t="shared" si="2"/>
        <v>54703.462399999997</v>
      </c>
      <c r="D16" s="28" t="str">
        <f t="shared" si="3"/>
        <v>vis</v>
      </c>
      <c r="E16" s="52">
        <f>VLOOKUP(C16,Active!C$21:E$973,3,FALSE)</f>
        <v>21492.946198295838</v>
      </c>
      <c r="F16" s="6" t="s">
        <v>59</v>
      </c>
      <c r="G16" s="28" t="str">
        <f t="shared" si="4"/>
        <v>54703.4624</v>
      </c>
      <c r="H16" s="18">
        <f t="shared" si="5"/>
        <v>-297</v>
      </c>
      <c r="I16" s="53" t="s">
        <v>87</v>
      </c>
      <c r="J16" s="54" t="s">
        <v>88</v>
      </c>
      <c r="K16" s="53" t="s">
        <v>89</v>
      </c>
      <c r="L16" s="53" t="s">
        <v>90</v>
      </c>
      <c r="M16" s="54" t="s">
        <v>71</v>
      </c>
      <c r="N16" s="54" t="s">
        <v>72</v>
      </c>
      <c r="O16" s="55" t="s">
        <v>66</v>
      </c>
      <c r="P16" s="56" t="s">
        <v>91</v>
      </c>
    </row>
    <row r="17" spans="1:16" ht="12.75" customHeight="1" thickBot="1" x14ac:dyDescent="0.25">
      <c r="A17" s="18" t="str">
        <f t="shared" si="0"/>
        <v>BAVM 212 </v>
      </c>
      <c r="B17" s="6" t="str">
        <f t="shared" si="1"/>
        <v>I</v>
      </c>
      <c r="C17" s="18">
        <f t="shared" si="2"/>
        <v>55067.359199999999</v>
      </c>
      <c r="D17" s="28" t="str">
        <f t="shared" si="3"/>
        <v>vis</v>
      </c>
      <c r="E17" s="52">
        <f>VLOOKUP(C17,Active!C$21:E$973,3,FALSE)</f>
        <v>21789.94662270249</v>
      </c>
      <c r="F17" s="6" t="s">
        <v>59</v>
      </c>
      <c r="G17" s="28" t="str">
        <f t="shared" si="4"/>
        <v>55067.3592</v>
      </c>
      <c r="H17" s="18">
        <f t="shared" si="5"/>
        <v>0</v>
      </c>
      <c r="I17" s="53" t="s">
        <v>92</v>
      </c>
      <c r="J17" s="54" t="s">
        <v>93</v>
      </c>
      <c r="K17" s="53" t="s">
        <v>94</v>
      </c>
      <c r="L17" s="53" t="s">
        <v>95</v>
      </c>
      <c r="M17" s="54" t="s">
        <v>71</v>
      </c>
      <c r="N17" s="54" t="s">
        <v>72</v>
      </c>
      <c r="O17" s="55" t="s">
        <v>66</v>
      </c>
      <c r="P17" s="56" t="s">
        <v>96</v>
      </c>
    </row>
    <row r="18" spans="1:16" ht="12.75" customHeight="1" thickBot="1" x14ac:dyDescent="0.25">
      <c r="A18" s="18" t="str">
        <f t="shared" si="0"/>
        <v>BAVM 214 </v>
      </c>
      <c r="B18" s="6" t="str">
        <f t="shared" si="1"/>
        <v>II</v>
      </c>
      <c r="C18" s="18">
        <f t="shared" si="2"/>
        <v>55353.448299999996</v>
      </c>
      <c r="D18" s="28" t="str">
        <f t="shared" si="3"/>
        <v>vis</v>
      </c>
      <c r="E18" s="52">
        <f>VLOOKUP(C18,Active!C$21:E$973,3,FALSE)</f>
        <v>22023.442998922656</v>
      </c>
      <c r="F18" s="6" t="s">
        <v>59</v>
      </c>
      <c r="G18" s="28" t="str">
        <f t="shared" si="4"/>
        <v>55353.4483</v>
      </c>
      <c r="H18" s="18">
        <f t="shared" si="5"/>
        <v>233.5</v>
      </c>
      <c r="I18" s="53" t="s">
        <v>97</v>
      </c>
      <c r="J18" s="54" t="s">
        <v>98</v>
      </c>
      <c r="K18" s="53" t="s">
        <v>99</v>
      </c>
      <c r="L18" s="53" t="s">
        <v>100</v>
      </c>
      <c r="M18" s="54" t="s">
        <v>71</v>
      </c>
      <c r="N18" s="54" t="s">
        <v>72</v>
      </c>
      <c r="O18" s="55" t="s">
        <v>66</v>
      </c>
      <c r="P18" s="56" t="s">
        <v>101</v>
      </c>
    </row>
    <row r="19" spans="1:16" x14ac:dyDescent="0.2">
      <c r="B19" s="6"/>
      <c r="E19" s="52"/>
      <c r="F19" s="6"/>
    </row>
    <row r="20" spans="1:16" x14ac:dyDescent="0.2">
      <c r="B20" s="6"/>
      <c r="E20" s="52"/>
      <c r="F20" s="6"/>
    </row>
    <row r="21" spans="1:16" x14ac:dyDescent="0.2">
      <c r="B21" s="6"/>
      <c r="E21" s="52"/>
      <c r="F21" s="6"/>
    </row>
    <row r="22" spans="1:16" x14ac:dyDescent="0.2">
      <c r="B22" s="6"/>
      <c r="E22" s="52"/>
      <c r="F22" s="6"/>
    </row>
    <row r="23" spans="1:16" x14ac:dyDescent="0.2">
      <c r="B23" s="6"/>
      <c r="E23" s="52"/>
      <c r="F23" s="6"/>
    </row>
    <row r="24" spans="1:16" x14ac:dyDescent="0.2">
      <c r="B24" s="6"/>
      <c r="E24" s="52"/>
      <c r="F24" s="6"/>
    </row>
    <row r="25" spans="1:16" x14ac:dyDescent="0.2">
      <c r="B25" s="6"/>
      <c r="E25" s="52"/>
      <c r="F25" s="6"/>
    </row>
    <row r="26" spans="1:16" x14ac:dyDescent="0.2">
      <c r="B26" s="6"/>
      <c r="E26" s="52"/>
      <c r="F26" s="6"/>
    </row>
    <row r="27" spans="1:16" x14ac:dyDescent="0.2">
      <c r="B27" s="6"/>
      <c r="E27" s="52"/>
      <c r="F27" s="6"/>
    </row>
    <row r="28" spans="1:16" x14ac:dyDescent="0.2">
      <c r="B28" s="6"/>
      <c r="E28" s="52"/>
      <c r="F28" s="6"/>
    </row>
    <row r="29" spans="1:16" x14ac:dyDescent="0.2">
      <c r="B29" s="6"/>
      <c r="E29" s="52"/>
      <c r="F29" s="6"/>
    </row>
    <row r="30" spans="1:16" x14ac:dyDescent="0.2">
      <c r="B30" s="6"/>
      <c r="E30" s="52"/>
      <c r="F30" s="6"/>
    </row>
    <row r="31" spans="1:16" x14ac:dyDescent="0.2">
      <c r="B31" s="6"/>
      <c r="E31" s="52"/>
      <c r="F31" s="6"/>
    </row>
    <row r="32" spans="1:16" x14ac:dyDescent="0.2">
      <c r="B32" s="6"/>
      <c r="E32" s="52"/>
      <c r="F32" s="6"/>
    </row>
    <row r="33" spans="2:6" x14ac:dyDescent="0.2">
      <c r="B33" s="6"/>
      <c r="E33" s="52"/>
      <c r="F33" s="6"/>
    </row>
    <row r="34" spans="2:6" x14ac:dyDescent="0.2">
      <c r="B34" s="6"/>
      <c r="E34" s="52"/>
      <c r="F34" s="6"/>
    </row>
    <row r="35" spans="2:6" x14ac:dyDescent="0.2">
      <c r="B35" s="6"/>
      <c r="E35" s="52"/>
      <c r="F35" s="6"/>
    </row>
    <row r="36" spans="2:6" x14ac:dyDescent="0.2">
      <c r="B36" s="6"/>
      <c r="E36" s="52"/>
      <c r="F36" s="6"/>
    </row>
    <row r="37" spans="2:6" x14ac:dyDescent="0.2">
      <c r="B37" s="6"/>
      <c r="E37" s="52"/>
      <c r="F37" s="6"/>
    </row>
    <row r="38" spans="2:6" x14ac:dyDescent="0.2">
      <c r="B38" s="6"/>
      <c r="E38" s="52"/>
      <c r="F38" s="6"/>
    </row>
    <row r="39" spans="2:6" x14ac:dyDescent="0.2">
      <c r="B39" s="6"/>
      <c r="E39" s="52"/>
      <c r="F39" s="6"/>
    </row>
    <row r="40" spans="2:6" x14ac:dyDescent="0.2">
      <c r="B40" s="6"/>
      <c r="E40" s="52"/>
      <c r="F40" s="6"/>
    </row>
    <row r="41" spans="2:6" x14ac:dyDescent="0.2">
      <c r="B41" s="6"/>
      <c r="E41" s="52"/>
      <c r="F41" s="6"/>
    </row>
    <row r="42" spans="2:6" x14ac:dyDescent="0.2">
      <c r="B42" s="6"/>
      <c r="E42" s="52"/>
      <c r="F42" s="6"/>
    </row>
    <row r="43" spans="2:6" x14ac:dyDescent="0.2">
      <c r="B43" s="6"/>
      <c r="E43" s="52"/>
      <c r="F43" s="6"/>
    </row>
    <row r="44" spans="2:6" x14ac:dyDescent="0.2">
      <c r="B44" s="6"/>
      <c r="E44" s="52"/>
      <c r="F44" s="6"/>
    </row>
    <row r="45" spans="2:6" x14ac:dyDescent="0.2">
      <c r="B45" s="6"/>
      <c r="E45" s="52"/>
      <c r="F45" s="6"/>
    </row>
    <row r="46" spans="2:6" x14ac:dyDescent="0.2">
      <c r="B46" s="6"/>
      <c r="E46" s="52"/>
      <c r="F46" s="6"/>
    </row>
    <row r="47" spans="2:6" x14ac:dyDescent="0.2">
      <c r="B47" s="6"/>
      <c r="E47" s="52"/>
      <c r="F47" s="6"/>
    </row>
    <row r="48" spans="2:6" x14ac:dyDescent="0.2">
      <c r="B48" s="6"/>
      <c r="E48" s="52"/>
      <c r="F48" s="6"/>
    </row>
    <row r="49" spans="2:6" x14ac:dyDescent="0.2">
      <c r="B49" s="6"/>
      <c r="E49" s="52"/>
      <c r="F49" s="6"/>
    </row>
    <row r="50" spans="2:6" x14ac:dyDescent="0.2">
      <c r="B50" s="6"/>
      <c r="E50" s="52"/>
      <c r="F50" s="6"/>
    </row>
    <row r="51" spans="2:6" x14ac:dyDescent="0.2">
      <c r="B51" s="6"/>
      <c r="E51" s="52"/>
      <c r="F51" s="6"/>
    </row>
    <row r="52" spans="2:6" x14ac:dyDescent="0.2">
      <c r="B52" s="6"/>
      <c r="E52" s="52"/>
      <c r="F52" s="6"/>
    </row>
    <row r="53" spans="2:6" x14ac:dyDescent="0.2">
      <c r="B53" s="6"/>
      <c r="E53" s="52"/>
      <c r="F53" s="6"/>
    </row>
    <row r="54" spans="2:6" x14ac:dyDescent="0.2">
      <c r="B54" s="6"/>
      <c r="E54" s="52"/>
      <c r="F54" s="6"/>
    </row>
    <row r="55" spans="2:6" x14ac:dyDescent="0.2">
      <c r="B55" s="6"/>
      <c r="E55" s="52"/>
      <c r="F55" s="6"/>
    </row>
    <row r="56" spans="2:6" x14ac:dyDescent="0.2">
      <c r="B56" s="6"/>
      <c r="E56" s="52"/>
      <c r="F56" s="6"/>
    </row>
    <row r="57" spans="2:6" x14ac:dyDescent="0.2">
      <c r="B57" s="6"/>
      <c r="E57" s="52"/>
      <c r="F57" s="6"/>
    </row>
    <row r="58" spans="2:6" x14ac:dyDescent="0.2">
      <c r="B58" s="6"/>
      <c r="E58" s="52"/>
      <c r="F58" s="6"/>
    </row>
    <row r="59" spans="2:6" x14ac:dyDescent="0.2">
      <c r="B59" s="6"/>
      <c r="E59" s="52"/>
      <c r="F59" s="6"/>
    </row>
    <row r="60" spans="2:6" x14ac:dyDescent="0.2">
      <c r="B60" s="6"/>
      <c r="E60" s="52"/>
      <c r="F60" s="6"/>
    </row>
    <row r="61" spans="2:6" x14ac:dyDescent="0.2">
      <c r="B61" s="6"/>
      <c r="E61" s="52"/>
      <c r="F61" s="6"/>
    </row>
    <row r="62" spans="2:6" x14ac:dyDescent="0.2">
      <c r="B62" s="6"/>
      <c r="E62" s="52"/>
      <c r="F62" s="6"/>
    </row>
    <row r="63" spans="2:6" x14ac:dyDescent="0.2">
      <c r="B63" s="6"/>
      <c r="E63" s="52"/>
      <c r="F63" s="6"/>
    </row>
    <row r="64" spans="2:6" x14ac:dyDescent="0.2">
      <c r="B64" s="6"/>
      <c r="E64" s="52"/>
      <c r="F64" s="6"/>
    </row>
    <row r="65" spans="2:6" x14ac:dyDescent="0.2">
      <c r="B65" s="6"/>
      <c r="E65" s="52"/>
      <c r="F65" s="6"/>
    </row>
    <row r="66" spans="2:6" x14ac:dyDescent="0.2">
      <c r="B66" s="6"/>
      <c r="E66" s="52"/>
      <c r="F66" s="6"/>
    </row>
    <row r="67" spans="2:6" x14ac:dyDescent="0.2">
      <c r="B67" s="6"/>
      <c r="E67" s="52"/>
      <c r="F67" s="6"/>
    </row>
    <row r="68" spans="2:6" x14ac:dyDescent="0.2">
      <c r="B68" s="6"/>
      <c r="E68" s="52"/>
      <c r="F68" s="6"/>
    </row>
    <row r="69" spans="2:6" x14ac:dyDescent="0.2">
      <c r="B69" s="6"/>
      <c r="E69" s="52"/>
      <c r="F69" s="6"/>
    </row>
    <row r="70" spans="2:6" x14ac:dyDescent="0.2">
      <c r="B70" s="6"/>
      <c r="E70" s="52"/>
      <c r="F70" s="6"/>
    </row>
    <row r="71" spans="2:6" x14ac:dyDescent="0.2">
      <c r="B71" s="6"/>
      <c r="E71" s="52"/>
      <c r="F71" s="6"/>
    </row>
    <row r="72" spans="2:6" x14ac:dyDescent="0.2">
      <c r="B72" s="6"/>
      <c r="E72" s="52"/>
      <c r="F72" s="6"/>
    </row>
    <row r="73" spans="2:6" x14ac:dyDescent="0.2">
      <c r="B73" s="6"/>
      <c r="E73" s="52"/>
      <c r="F73" s="6"/>
    </row>
    <row r="74" spans="2:6" x14ac:dyDescent="0.2">
      <c r="B74" s="6"/>
      <c r="E74" s="52"/>
      <c r="F74" s="6"/>
    </row>
    <row r="75" spans="2:6" x14ac:dyDescent="0.2">
      <c r="B75" s="6"/>
      <c r="E75" s="52"/>
      <c r="F75" s="6"/>
    </row>
    <row r="76" spans="2:6" x14ac:dyDescent="0.2">
      <c r="B76" s="6"/>
      <c r="E76" s="52"/>
      <c r="F76" s="6"/>
    </row>
    <row r="77" spans="2:6" x14ac:dyDescent="0.2">
      <c r="B77" s="6"/>
      <c r="E77" s="52"/>
      <c r="F77" s="6"/>
    </row>
    <row r="78" spans="2:6" x14ac:dyDescent="0.2">
      <c r="B78" s="6"/>
      <c r="E78" s="52"/>
      <c r="F78" s="6"/>
    </row>
    <row r="79" spans="2:6" x14ac:dyDescent="0.2">
      <c r="B79" s="6"/>
      <c r="E79" s="52"/>
      <c r="F79" s="6"/>
    </row>
    <row r="80" spans="2:6" x14ac:dyDescent="0.2">
      <c r="B80" s="6"/>
      <c r="E80" s="52"/>
      <c r="F80" s="6"/>
    </row>
    <row r="81" spans="2:6" x14ac:dyDescent="0.2">
      <c r="B81" s="6"/>
      <c r="E81" s="52"/>
      <c r="F81" s="6"/>
    </row>
    <row r="82" spans="2:6" x14ac:dyDescent="0.2">
      <c r="B82" s="6"/>
      <c r="E82" s="52"/>
      <c r="F82" s="6"/>
    </row>
    <row r="83" spans="2:6" x14ac:dyDescent="0.2">
      <c r="B83" s="6"/>
      <c r="E83" s="52"/>
      <c r="F83" s="6"/>
    </row>
    <row r="84" spans="2:6" x14ac:dyDescent="0.2">
      <c r="B84" s="6"/>
      <c r="E84" s="52"/>
      <c r="F84" s="6"/>
    </row>
    <row r="85" spans="2:6" x14ac:dyDescent="0.2">
      <c r="B85" s="6"/>
      <c r="E85" s="52"/>
      <c r="F85" s="6"/>
    </row>
    <row r="86" spans="2:6" x14ac:dyDescent="0.2">
      <c r="B86" s="6"/>
      <c r="E86" s="52"/>
      <c r="F86" s="6"/>
    </row>
    <row r="87" spans="2:6" x14ac:dyDescent="0.2">
      <c r="B87" s="6"/>
      <c r="E87" s="52"/>
      <c r="F87" s="6"/>
    </row>
    <row r="88" spans="2:6" x14ac:dyDescent="0.2">
      <c r="B88" s="6"/>
      <c r="E88" s="52"/>
      <c r="F88" s="6"/>
    </row>
    <row r="89" spans="2:6" x14ac:dyDescent="0.2">
      <c r="B89" s="6"/>
      <c r="E89" s="52"/>
      <c r="F89" s="6"/>
    </row>
    <row r="90" spans="2:6" x14ac:dyDescent="0.2">
      <c r="B90" s="6"/>
      <c r="E90" s="52"/>
      <c r="F90" s="6"/>
    </row>
    <row r="91" spans="2:6" x14ac:dyDescent="0.2">
      <c r="B91" s="6"/>
      <c r="E91" s="52"/>
      <c r="F91" s="6"/>
    </row>
    <row r="92" spans="2:6" x14ac:dyDescent="0.2">
      <c r="B92" s="6"/>
      <c r="E92" s="52"/>
      <c r="F92" s="6"/>
    </row>
    <row r="93" spans="2:6" x14ac:dyDescent="0.2">
      <c r="B93" s="6"/>
      <c r="E93" s="52"/>
      <c r="F93" s="6"/>
    </row>
    <row r="94" spans="2:6" x14ac:dyDescent="0.2">
      <c r="B94" s="6"/>
      <c r="E94" s="52"/>
      <c r="F94" s="6"/>
    </row>
    <row r="95" spans="2:6" x14ac:dyDescent="0.2">
      <c r="B95" s="6"/>
      <c r="E95" s="52"/>
      <c r="F95" s="6"/>
    </row>
    <row r="96" spans="2:6" x14ac:dyDescent="0.2">
      <c r="B96" s="6"/>
      <c r="E96" s="52"/>
      <c r="F96" s="6"/>
    </row>
    <row r="97" spans="2:6" x14ac:dyDescent="0.2">
      <c r="B97" s="6"/>
      <c r="E97" s="52"/>
      <c r="F97" s="6"/>
    </row>
    <row r="98" spans="2:6" x14ac:dyDescent="0.2">
      <c r="B98" s="6"/>
      <c r="E98" s="52"/>
      <c r="F98" s="6"/>
    </row>
    <row r="99" spans="2:6" x14ac:dyDescent="0.2">
      <c r="B99" s="6"/>
      <c r="E99" s="52"/>
      <c r="F99" s="6"/>
    </row>
    <row r="100" spans="2:6" x14ac:dyDescent="0.2">
      <c r="B100" s="6"/>
      <c r="E100" s="52"/>
      <c r="F100" s="6"/>
    </row>
    <row r="101" spans="2:6" x14ac:dyDescent="0.2">
      <c r="B101" s="6"/>
      <c r="E101" s="52"/>
      <c r="F101" s="6"/>
    </row>
    <row r="102" spans="2:6" x14ac:dyDescent="0.2">
      <c r="B102" s="6"/>
      <c r="E102" s="52"/>
      <c r="F102" s="6"/>
    </row>
    <row r="103" spans="2:6" x14ac:dyDescent="0.2">
      <c r="B103" s="6"/>
      <c r="E103" s="52"/>
      <c r="F103" s="6"/>
    </row>
    <row r="104" spans="2:6" x14ac:dyDescent="0.2">
      <c r="B104" s="6"/>
      <c r="E104" s="52"/>
      <c r="F104" s="6"/>
    </row>
    <row r="105" spans="2:6" x14ac:dyDescent="0.2">
      <c r="B105" s="6"/>
      <c r="E105" s="52"/>
      <c r="F105" s="6"/>
    </row>
    <row r="106" spans="2:6" x14ac:dyDescent="0.2">
      <c r="B106" s="6"/>
      <c r="E106" s="52"/>
      <c r="F106" s="6"/>
    </row>
    <row r="107" spans="2:6" x14ac:dyDescent="0.2">
      <c r="B107" s="6"/>
      <c r="E107" s="52"/>
      <c r="F107" s="6"/>
    </row>
    <row r="108" spans="2:6" x14ac:dyDescent="0.2">
      <c r="B108" s="6"/>
      <c r="E108" s="52"/>
      <c r="F108" s="6"/>
    </row>
    <row r="109" spans="2:6" x14ac:dyDescent="0.2">
      <c r="B109" s="6"/>
      <c r="E109" s="52"/>
      <c r="F109" s="6"/>
    </row>
    <row r="110" spans="2:6" x14ac:dyDescent="0.2">
      <c r="B110" s="6"/>
      <c r="E110" s="52"/>
      <c r="F110" s="6"/>
    </row>
    <row r="111" spans="2:6" x14ac:dyDescent="0.2">
      <c r="B111" s="6"/>
      <c r="E111" s="52"/>
      <c r="F111" s="6"/>
    </row>
    <row r="112" spans="2:6" x14ac:dyDescent="0.2">
      <c r="B112" s="6"/>
      <c r="E112" s="52"/>
      <c r="F112" s="6"/>
    </row>
    <row r="113" spans="2:6" x14ac:dyDescent="0.2">
      <c r="B113" s="6"/>
      <c r="E113" s="52"/>
      <c r="F113" s="6"/>
    </row>
    <row r="114" spans="2:6" x14ac:dyDescent="0.2">
      <c r="B114" s="6"/>
      <c r="E114" s="52"/>
      <c r="F114" s="6"/>
    </row>
    <row r="115" spans="2:6" x14ac:dyDescent="0.2">
      <c r="B115" s="6"/>
      <c r="E115" s="52"/>
      <c r="F115" s="6"/>
    </row>
    <row r="116" spans="2:6" x14ac:dyDescent="0.2">
      <c r="B116" s="6"/>
      <c r="E116" s="52"/>
      <c r="F116" s="6"/>
    </row>
    <row r="117" spans="2:6" x14ac:dyDescent="0.2">
      <c r="B117" s="6"/>
      <c r="E117" s="52"/>
      <c r="F117" s="6"/>
    </row>
    <row r="118" spans="2:6" x14ac:dyDescent="0.2">
      <c r="B118" s="6"/>
      <c r="E118" s="52"/>
      <c r="F118" s="6"/>
    </row>
    <row r="119" spans="2:6" x14ac:dyDescent="0.2">
      <c r="B119" s="6"/>
      <c r="E119" s="52"/>
      <c r="F119" s="6"/>
    </row>
    <row r="120" spans="2:6" x14ac:dyDescent="0.2">
      <c r="B120" s="6"/>
      <c r="E120" s="52"/>
      <c r="F120" s="6"/>
    </row>
    <row r="121" spans="2:6" x14ac:dyDescent="0.2">
      <c r="B121" s="6"/>
      <c r="E121" s="52"/>
      <c r="F121" s="6"/>
    </row>
    <row r="122" spans="2:6" x14ac:dyDescent="0.2">
      <c r="B122" s="6"/>
      <c r="E122" s="52"/>
      <c r="F122" s="6"/>
    </row>
    <row r="123" spans="2:6" x14ac:dyDescent="0.2">
      <c r="B123" s="6"/>
      <c r="E123" s="52"/>
      <c r="F123" s="6"/>
    </row>
    <row r="124" spans="2:6" x14ac:dyDescent="0.2">
      <c r="B124" s="6"/>
      <c r="E124" s="52"/>
      <c r="F124" s="6"/>
    </row>
    <row r="125" spans="2:6" x14ac:dyDescent="0.2">
      <c r="B125" s="6"/>
      <c r="E125" s="52"/>
      <c r="F125" s="6"/>
    </row>
    <row r="126" spans="2:6" x14ac:dyDescent="0.2">
      <c r="B126" s="6"/>
      <c r="E126" s="52"/>
      <c r="F126" s="6"/>
    </row>
    <row r="127" spans="2:6" x14ac:dyDescent="0.2">
      <c r="B127" s="6"/>
      <c r="E127" s="52"/>
      <c r="F127" s="6"/>
    </row>
    <row r="128" spans="2:6" x14ac:dyDescent="0.2">
      <c r="B128" s="6"/>
      <c r="E128" s="52"/>
      <c r="F128" s="6"/>
    </row>
    <row r="129" spans="2:6" x14ac:dyDescent="0.2">
      <c r="B129" s="6"/>
      <c r="E129" s="52"/>
      <c r="F129" s="6"/>
    </row>
    <row r="130" spans="2:6" x14ac:dyDescent="0.2">
      <c r="B130" s="6"/>
      <c r="E130" s="52"/>
      <c r="F130" s="6"/>
    </row>
    <row r="131" spans="2:6" x14ac:dyDescent="0.2">
      <c r="B131" s="6"/>
      <c r="E131" s="52"/>
      <c r="F131" s="6"/>
    </row>
    <row r="132" spans="2:6" x14ac:dyDescent="0.2">
      <c r="B132" s="6"/>
      <c r="E132" s="52"/>
      <c r="F132" s="6"/>
    </row>
    <row r="133" spans="2:6" x14ac:dyDescent="0.2">
      <c r="B133" s="6"/>
      <c r="E133" s="52"/>
      <c r="F133" s="6"/>
    </row>
    <row r="134" spans="2:6" x14ac:dyDescent="0.2">
      <c r="B134" s="6"/>
      <c r="E134" s="52"/>
      <c r="F134" s="6"/>
    </row>
    <row r="135" spans="2:6" x14ac:dyDescent="0.2">
      <c r="B135" s="6"/>
      <c r="E135" s="52"/>
      <c r="F135" s="6"/>
    </row>
    <row r="136" spans="2:6" x14ac:dyDescent="0.2">
      <c r="B136" s="6"/>
      <c r="E136" s="52"/>
      <c r="F136" s="6"/>
    </row>
    <row r="137" spans="2:6" x14ac:dyDescent="0.2">
      <c r="B137" s="6"/>
      <c r="E137" s="52"/>
      <c r="F137" s="6"/>
    </row>
    <row r="138" spans="2:6" x14ac:dyDescent="0.2">
      <c r="B138" s="6"/>
      <c r="E138" s="52"/>
      <c r="F138" s="6"/>
    </row>
    <row r="139" spans="2:6" x14ac:dyDescent="0.2">
      <c r="B139" s="6"/>
      <c r="E139" s="52"/>
      <c r="F139" s="6"/>
    </row>
    <row r="140" spans="2:6" x14ac:dyDescent="0.2">
      <c r="B140" s="6"/>
      <c r="E140" s="52"/>
      <c r="F140" s="6"/>
    </row>
    <row r="141" spans="2:6" x14ac:dyDescent="0.2">
      <c r="B141" s="6"/>
      <c r="E141" s="52"/>
      <c r="F141" s="6"/>
    </row>
    <row r="142" spans="2:6" x14ac:dyDescent="0.2">
      <c r="B142" s="6"/>
      <c r="E142" s="52"/>
      <c r="F142" s="6"/>
    </row>
    <row r="143" spans="2:6" x14ac:dyDescent="0.2">
      <c r="B143" s="6"/>
      <c r="E143" s="52"/>
      <c r="F143" s="6"/>
    </row>
    <row r="144" spans="2:6" x14ac:dyDescent="0.2">
      <c r="B144" s="6"/>
      <c r="E144" s="52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  <row r="871" spans="2:6" x14ac:dyDescent="0.2">
      <c r="B871" s="6"/>
      <c r="F871" s="6"/>
    </row>
    <row r="872" spans="2:6" x14ac:dyDescent="0.2">
      <c r="B872" s="6"/>
      <c r="F872" s="6"/>
    </row>
    <row r="873" spans="2:6" x14ac:dyDescent="0.2">
      <c r="B873" s="6"/>
      <c r="F873" s="6"/>
    </row>
    <row r="874" spans="2:6" x14ac:dyDescent="0.2">
      <c r="B874" s="6"/>
      <c r="F874" s="6"/>
    </row>
    <row r="875" spans="2:6" x14ac:dyDescent="0.2">
      <c r="B875" s="6"/>
      <c r="F875" s="6"/>
    </row>
    <row r="876" spans="2:6" x14ac:dyDescent="0.2">
      <c r="B876" s="6"/>
      <c r="F876" s="6"/>
    </row>
    <row r="877" spans="2:6" x14ac:dyDescent="0.2">
      <c r="B877" s="6"/>
      <c r="F877" s="6"/>
    </row>
    <row r="878" spans="2:6" x14ac:dyDescent="0.2">
      <c r="B878" s="6"/>
      <c r="F878" s="6"/>
    </row>
    <row r="879" spans="2:6" x14ac:dyDescent="0.2">
      <c r="B879" s="6"/>
      <c r="F879" s="6"/>
    </row>
    <row r="880" spans="2:6" x14ac:dyDescent="0.2">
      <c r="B880" s="6"/>
      <c r="F880" s="6"/>
    </row>
    <row r="881" spans="2:6" x14ac:dyDescent="0.2">
      <c r="B881" s="6"/>
      <c r="F881" s="6"/>
    </row>
    <row r="882" spans="2:6" x14ac:dyDescent="0.2">
      <c r="B882" s="6"/>
      <c r="F882" s="6"/>
    </row>
    <row r="883" spans="2:6" x14ac:dyDescent="0.2">
      <c r="B883" s="6"/>
      <c r="F883" s="6"/>
    </row>
    <row r="884" spans="2:6" x14ac:dyDescent="0.2">
      <c r="B884" s="6"/>
      <c r="F884" s="6"/>
    </row>
    <row r="885" spans="2:6" x14ac:dyDescent="0.2">
      <c r="B885" s="6"/>
      <c r="F885" s="6"/>
    </row>
    <row r="886" spans="2:6" x14ac:dyDescent="0.2">
      <c r="B886" s="6"/>
      <c r="F886" s="6"/>
    </row>
    <row r="887" spans="2:6" x14ac:dyDescent="0.2">
      <c r="B887" s="6"/>
      <c r="F887" s="6"/>
    </row>
    <row r="888" spans="2:6" x14ac:dyDescent="0.2">
      <c r="B888" s="6"/>
      <c r="F888" s="6"/>
    </row>
    <row r="889" spans="2:6" x14ac:dyDescent="0.2">
      <c r="B889" s="6"/>
      <c r="F889" s="6"/>
    </row>
    <row r="890" spans="2:6" x14ac:dyDescent="0.2">
      <c r="B890" s="6"/>
      <c r="F890" s="6"/>
    </row>
    <row r="891" spans="2:6" x14ac:dyDescent="0.2">
      <c r="B891" s="6"/>
      <c r="F891" s="6"/>
    </row>
    <row r="892" spans="2:6" x14ac:dyDescent="0.2">
      <c r="B892" s="6"/>
      <c r="F892" s="6"/>
    </row>
    <row r="893" spans="2:6" x14ac:dyDescent="0.2">
      <c r="B893" s="6"/>
      <c r="F893" s="6"/>
    </row>
    <row r="894" spans="2:6" x14ac:dyDescent="0.2">
      <c r="B894" s="6"/>
      <c r="F894" s="6"/>
    </row>
    <row r="895" spans="2:6" x14ac:dyDescent="0.2">
      <c r="B895" s="6"/>
      <c r="F895" s="6"/>
    </row>
    <row r="896" spans="2:6" x14ac:dyDescent="0.2">
      <c r="B896" s="6"/>
      <c r="F896" s="6"/>
    </row>
    <row r="897" spans="2:6" x14ac:dyDescent="0.2">
      <c r="B897" s="6"/>
      <c r="F897" s="6"/>
    </row>
    <row r="898" spans="2:6" x14ac:dyDescent="0.2">
      <c r="B898" s="6"/>
      <c r="F898" s="6"/>
    </row>
    <row r="899" spans="2:6" x14ac:dyDescent="0.2">
      <c r="B899" s="6"/>
      <c r="F899" s="6"/>
    </row>
    <row r="900" spans="2:6" x14ac:dyDescent="0.2">
      <c r="B900" s="6"/>
      <c r="F900" s="6"/>
    </row>
    <row r="901" spans="2:6" x14ac:dyDescent="0.2">
      <c r="B901" s="6"/>
      <c r="F901" s="6"/>
    </row>
    <row r="902" spans="2:6" x14ac:dyDescent="0.2">
      <c r="B902" s="6"/>
      <c r="F902" s="6"/>
    </row>
    <row r="903" spans="2:6" x14ac:dyDescent="0.2">
      <c r="B903" s="6"/>
      <c r="F903" s="6"/>
    </row>
    <row r="904" spans="2:6" x14ac:dyDescent="0.2">
      <c r="B904" s="6"/>
      <c r="F904" s="6"/>
    </row>
    <row r="905" spans="2:6" x14ac:dyDescent="0.2">
      <c r="B905" s="6"/>
      <c r="F905" s="6"/>
    </row>
    <row r="906" spans="2:6" x14ac:dyDescent="0.2">
      <c r="B906" s="6"/>
      <c r="F906" s="6"/>
    </row>
    <row r="907" spans="2:6" x14ac:dyDescent="0.2">
      <c r="B907" s="6"/>
      <c r="F907" s="6"/>
    </row>
    <row r="908" spans="2:6" x14ac:dyDescent="0.2">
      <c r="B908" s="6"/>
      <c r="F908" s="6"/>
    </row>
    <row r="909" spans="2:6" x14ac:dyDescent="0.2">
      <c r="B909" s="6"/>
      <c r="F909" s="6"/>
    </row>
    <row r="910" spans="2:6" x14ac:dyDescent="0.2">
      <c r="B910" s="6"/>
      <c r="F910" s="6"/>
    </row>
    <row r="911" spans="2:6" x14ac:dyDescent="0.2">
      <c r="B911" s="6"/>
      <c r="F911" s="6"/>
    </row>
    <row r="912" spans="2:6" x14ac:dyDescent="0.2">
      <c r="B912" s="6"/>
      <c r="F912" s="6"/>
    </row>
    <row r="913" spans="2:6" x14ac:dyDescent="0.2">
      <c r="B913" s="6"/>
      <c r="F913" s="6"/>
    </row>
    <row r="914" spans="2:6" x14ac:dyDescent="0.2">
      <c r="B914" s="6"/>
      <c r="F914" s="6"/>
    </row>
    <row r="915" spans="2:6" x14ac:dyDescent="0.2">
      <c r="B915" s="6"/>
      <c r="F915" s="6"/>
    </row>
    <row r="916" spans="2:6" x14ac:dyDescent="0.2">
      <c r="B916" s="6"/>
      <c r="F916" s="6"/>
    </row>
    <row r="917" spans="2:6" x14ac:dyDescent="0.2">
      <c r="B917" s="6"/>
      <c r="F917" s="6"/>
    </row>
    <row r="918" spans="2:6" x14ac:dyDescent="0.2">
      <c r="B918" s="6"/>
      <c r="F918" s="6"/>
    </row>
    <row r="919" spans="2:6" x14ac:dyDescent="0.2">
      <c r="B919" s="6"/>
      <c r="F919" s="6"/>
    </row>
    <row r="920" spans="2:6" x14ac:dyDescent="0.2">
      <c r="B920" s="6"/>
      <c r="F920" s="6"/>
    </row>
    <row r="921" spans="2:6" x14ac:dyDescent="0.2">
      <c r="B921" s="6"/>
      <c r="F921" s="6"/>
    </row>
    <row r="922" spans="2:6" x14ac:dyDescent="0.2">
      <c r="B922" s="6"/>
      <c r="F922" s="6"/>
    </row>
    <row r="923" spans="2:6" x14ac:dyDescent="0.2">
      <c r="B923" s="6"/>
      <c r="F923" s="6"/>
    </row>
    <row r="924" spans="2:6" x14ac:dyDescent="0.2">
      <c r="B924" s="6"/>
      <c r="F924" s="6"/>
    </row>
    <row r="925" spans="2:6" x14ac:dyDescent="0.2">
      <c r="B925" s="6"/>
      <c r="F925" s="6"/>
    </row>
    <row r="926" spans="2:6" x14ac:dyDescent="0.2">
      <c r="B926" s="6"/>
      <c r="F926" s="6"/>
    </row>
    <row r="927" spans="2:6" x14ac:dyDescent="0.2">
      <c r="B927" s="6"/>
      <c r="F927" s="6"/>
    </row>
    <row r="928" spans="2:6" x14ac:dyDescent="0.2">
      <c r="B928" s="6"/>
      <c r="F928" s="6"/>
    </row>
    <row r="929" spans="2:6" x14ac:dyDescent="0.2">
      <c r="B929" s="6"/>
      <c r="F929" s="6"/>
    </row>
    <row r="930" spans="2:6" x14ac:dyDescent="0.2">
      <c r="B930" s="6"/>
      <c r="F930" s="6"/>
    </row>
    <row r="931" spans="2:6" x14ac:dyDescent="0.2">
      <c r="B931" s="6"/>
      <c r="F931" s="6"/>
    </row>
    <row r="932" spans="2:6" x14ac:dyDescent="0.2">
      <c r="B932" s="6"/>
      <c r="F932" s="6"/>
    </row>
  </sheetData>
  <phoneticPr fontId="7" type="noConversion"/>
  <hyperlinks>
    <hyperlink ref="A3" r:id="rId1"/>
    <hyperlink ref="P11" r:id="rId2" display="http://www.bav-astro.de/sfs/BAVM_link.php?BAVMnr=173"/>
    <hyperlink ref="P12" r:id="rId3" display="http://www.bav-astro.de/sfs/BAVM_link.php?BAVMnr=183"/>
    <hyperlink ref="P13" r:id="rId4" display="http://www.bav-astro.de/sfs/BAVM_link.php?BAVMnr=183"/>
    <hyperlink ref="P14" r:id="rId5" display="http://www.bav-astro.de/sfs/BAVM_link.php?BAVMnr=193"/>
    <hyperlink ref="P15" r:id="rId6" display="http://www.bav-astro.de/sfs/BAVM_link.php?BAVMnr=193"/>
    <hyperlink ref="P16" r:id="rId7" display="http://www.bav-astro.de/sfs/BAVM_link.php?BAVMnr=203"/>
    <hyperlink ref="P17" r:id="rId8" display="http://www.bav-astro.de/sfs/BAVM_link.php?BAVMnr=212"/>
    <hyperlink ref="P18" r:id="rId9" display="http://www.bav-astro.de/sfs/BAVM_link.php?BAVMnr=21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2024-01-11T04:34:23Z</dcterms:modified>
</cp:coreProperties>
</file>