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540F0A2F-D994-47D4-A8FE-2415D9B68E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H25" i="1" s="1"/>
  <c r="Q25" i="1"/>
  <c r="F14" i="1"/>
  <c r="E22" i="1"/>
  <c r="F22" i="1" s="1"/>
  <c r="G22" i="1" s="1"/>
  <c r="J22" i="1" s="1"/>
  <c r="E23" i="1"/>
  <c r="F23" i="1" s="1"/>
  <c r="G23" i="1" s="1"/>
  <c r="J23" i="1" s="1"/>
  <c r="E24" i="1"/>
  <c r="F24" i="1"/>
  <c r="G24" i="1" s="1"/>
  <c r="J24" i="1" s="1"/>
  <c r="Q22" i="1"/>
  <c r="Q23" i="1"/>
  <c r="Q24" i="1"/>
  <c r="F11" i="1"/>
  <c r="E21" i="1"/>
  <c r="F21" i="1" s="1"/>
  <c r="G21" i="1" s="1"/>
  <c r="H21" i="1" s="1"/>
  <c r="G11" i="1"/>
  <c r="C17" i="1"/>
  <c r="Q21" i="1"/>
  <c r="C11" i="1"/>
  <c r="C12" i="1"/>
  <c r="O25" i="1" l="1"/>
  <c r="S25" i="1" s="1"/>
  <c r="F15" i="1"/>
  <c r="C16" i="1"/>
  <c r="D18" i="1" s="1"/>
  <c r="O22" i="1"/>
  <c r="S22" i="1" s="1"/>
  <c r="O21" i="1"/>
  <c r="S21" i="1" s="1"/>
  <c r="O23" i="1"/>
  <c r="S23" i="1" s="1"/>
  <c r="C15" i="1"/>
  <c r="O24" i="1"/>
  <c r="S24" i="1" s="1"/>
  <c r="F16" i="1" l="1"/>
  <c r="F18" i="1" s="1"/>
  <c r="S19" i="1"/>
  <c r="C18" i="1"/>
  <c r="F17" i="1" l="1"/>
</calcChain>
</file>

<file path=xl/sharedStrings.xml><?xml version="1.0" encoding="utf-8"?>
<sst xmlns="http://schemas.openxmlformats.org/spreadsheetml/2006/main" count="64" uniqueCount="54">
  <si>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</si>
  <si>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</si>
  <si>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</si>
  <si>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</si>
  <si>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</si>
  <si>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</si>
  <si>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</si>
  <si>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</si>
  <si>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</si>
  <si>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</si>
  <si>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</si>
  <si>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</si>
  <si>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</si>
  <si>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</si>
  <si>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</si>
  <si>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</si>
  <si>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</si>
  <si>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</si>
  <si>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</si>
  <si>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</si>
  <si>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</si>
  <si>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</si>
  <si>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</si>
  <si>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</si>
  <si>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</si>
  <si>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</si>
  <si>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</si>
  <si>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</si>
  <si>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</si>
  <si>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</si>
  <si>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</si>
  <si>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</si>
  <si>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</si>
  <si>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</si>
  <si>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</si>
  <si>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</si>
  <si>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</si>
  <si>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</si>
  <si>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</si>
  <si>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</si>
  <si>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G5117-2288</t>
  </si>
  <si>
    <t>ESD</t>
  </si>
  <si>
    <t>Aql</t>
  </si>
  <si>
    <t>VSX</t>
  </si>
  <si>
    <t>IBVS 6063</t>
  </si>
  <si>
    <t>CCD</t>
  </si>
  <si>
    <t>V2032 Aql</t>
  </si>
  <si>
    <t xml:space="preserve">Mag </t>
  </si>
  <si>
    <t>Next ToM-P</t>
  </si>
  <si>
    <t>Next ToM-S</t>
  </si>
  <si>
    <t>13.33-14.26</t>
  </si>
  <si>
    <t>VSX 1</t>
  </si>
  <si>
    <t>I</t>
  </si>
  <si>
    <t>VSX : Detail for V2032 Aql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</si>
</sst>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  <xf numFmtId="0" fontId="18" fillId="0" borderId="0" applyNumberFormat="0" applyFill="0" applyBorder="0" applyAlignment="0" applyProtection="0">
      <alignment vertical="top"/>
    </xf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5" xfId="0" applyBorder="1">
      <alignment vertical="top"/>
    </xf>
    <xf numFmtId="0" fontId="16" fillId="0" borderId="8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3" borderId="6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1" xfId="0" applyNumberFormat="1" applyFont="1" applyBorder="1" applyAlignment="1">
      <alignment horizontal="right" vertical="center"/>
    </xf>
    <xf numFmtId="0" fontId="5" fillId="0" borderId="0" xfId="0" applyFont="1" applyAlignme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18" fillId="0" borderId="0" xfId="8" applyAlignment="1">
      <alignment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8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5117-2288 -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206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-2602</c:v>
                </c:pt>
                <c:pt idx="1">
                  <c:v>-1196.5</c:v>
                </c:pt>
                <c:pt idx="2">
                  <c:v>-1196.5</c:v>
                </c:pt>
                <c:pt idx="3">
                  <c:v>-1196.5</c:v>
                </c:pt>
                <c:pt idx="4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-1.765000000159489E-2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06-441C-B4D8-0EF2AC4BE4F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-2602</c:v>
                </c:pt>
                <c:pt idx="1">
                  <c:v>-1196.5</c:v>
                </c:pt>
                <c:pt idx="2">
                  <c:v>-1196.5</c:v>
                </c:pt>
                <c:pt idx="3">
                  <c:v>-1196.5</c:v>
                </c:pt>
                <c:pt idx="4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06-441C-B4D8-0EF2AC4BE4F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-2602</c:v>
                </c:pt>
                <c:pt idx="1">
                  <c:v>-1196.5</c:v>
                </c:pt>
                <c:pt idx="2">
                  <c:v>-1196.5</c:v>
                </c:pt>
                <c:pt idx="3">
                  <c:v>-1196.5</c:v>
                </c:pt>
                <c:pt idx="4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-1.0672500000509899E-2</c:v>
                </c:pt>
                <c:pt idx="2">
                  <c:v>1.20749999769032E-3</c:v>
                </c:pt>
                <c:pt idx="3">
                  <c:v>3.0774999977438711E-3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06-441C-B4D8-0EF2AC4BE4F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-2602</c:v>
                </c:pt>
                <c:pt idx="1">
                  <c:v>-1196.5</c:v>
                </c:pt>
                <c:pt idx="2">
                  <c:v>-1196.5</c:v>
                </c:pt>
                <c:pt idx="3">
                  <c:v>-1196.5</c:v>
                </c:pt>
                <c:pt idx="4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06-441C-B4D8-0EF2AC4BE4F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-2602</c:v>
                </c:pt>
                <c:pt idx="1">
                  <c:v>-1196.5</c:v>
                </c:pt>
                <c:pt idx="2">
                  <c:v>-1196.5</c:v>
                </c:pt>
                <c:pt idx="3">
                  <c:v>-1196.5</c:v>
                </c:pt>
                <c:pt idx="4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06-441C-B4D8-0EF2AC4BE4F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-2602</c:v>
                </c:pt>
                <c:pt idx="1">
                  <c:v>-1196.5</c:v>
                </c:pt>
                <c:pt idx="2">
                  <c:v>-1196.5</c:v>
                </c:pt>
                <c:pt idx="3">
                  <c:v>-1196.5</c:v>
                </c:pt>
                <c:pt idx="4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06-441C-B4D8-0EF2AC4BE4F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-2602</c:v>
                </c:pt>
                <c:pt idx="1">
                  <c:v>-1196.5</c:v>
                </c:pt>
                <c:pt idx="2">
                  <c:v>-1196.5</c:v>
                </c:pt>
                <c:pt idx="3">
                  <c:v>-1196.5</c:v>
                </c:pt>
                <c:pt idx="4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06-441C-B4D8-0EF2AC4BE4F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-2602</c:v>
                </c:pt>
                <c:pt idx="1">
                  <c:v>-1196.5</c:v>
                </c:pt>
                <c:pt idx="2">
                  <c:v>-1196.5</c:v>
                </c:pt>
                <c:pt idx="3">
                  <c:v>-1196.5</c:v>
                </c:pt>
                <c:pt idx="4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-1.4359083606504336E-2</c:v>
                </c:pt>
                <c:pt idx="1">
                  <c:v>-4.5147257880202556E-3</c:v>
                </c:pt>
                <c:pt idx="2">
                  <c:v>-4.5147257880202556E-3</c:v>
                </c:pt>
                <c:pt idx="3">
                  <c:v>-4.5147257880202556E-3</c:v>
                </c:pt>
                <c:pt idx="4">
                  <c:v>3.8657609638945069E-3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06-441C-B4D8-0EF2AC4BE4F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-2602</c:v>
                </c:pt>
                <c:pt idx="1">
                  <c:v>-1196.5</c:v>
                </c:pt>
                <c:pt idx="2">
                  <c:v>-1196.5</c:v>
                </c:pt>
                <c:pt idx="3">
                  <c:v>-1196.5</c:v>
                </c:pt>
                <c:pt idx="4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06-441C-B4D8-0EF2AC4BE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868704"/>
        <c:axId val="1"/>
      </c:scatterChart>
      <c:valAx>
        <c:axId val="411868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1868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FE3255C-4A36-846D-B4AB-4595A85E25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12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46</v>
      </c>
      <c r="E1" s="45" t="s">
        <v>53</v>
      </c>
    </row>
    <row r="2" spans="1:7" x14ac:dyDescent="0.2">
      <c r="A2" t="s">
        <v>23</v>
      </c>
      <c r="B2" t="s">
        <v>41</v>
      </c>
      <c r="C2" s="27" t="s">
        <v>39</v>
      </c>
      <c r="D2" s="3" t="s">
        <v>42</v>
      </c>
      <c r="E2" s="28" t="s">
        <v>40</v>
      </c>
      <c r="F2" t="s">
        <v>40</v>
      </c>
    </row>
    <row r="3" spans="1:7" ht="13.5" thickBot="1" x14ac:dyDescent="0.25"/>
    <row r="4" spans="1:7" ht="14.25" thickTop="1" thickBot="1" x14ac:dyDescent="0.25">
      <c r="A4" s="5" t="s">
        <v>0</v>
      </c>
      <c r="C4" s="24" t="s">
        <v>38</v>
      </c>
      <c r="D4" s="25" t="s">
        <v>38</v>
      </c>
    </row>
    <row r="6" spans="1:7" x14ac:dyDescent="0.2">
      <c r="A6" s="5" t="s">
        <v>1</v>
      </c>
    </row>
    <row r="7" spans="1:7" x14ac:dyDescent="0.2">
      <c r="A7" t="s">
        <v>2</v>
      </c>
      <c r="C7" s="32">
        <v>57882.934000000001</v>
      </c>
      <c r="D7" s="26" t="s">
        <v>43</v>
      </c>
    </row>
    <row r="8" spans="1:7" x14ac:dyDescent="0.2">
      <c r="A8" t="s">
        <v>3</v>
      </c>
      <c r="C8" s="32">
        <v>1.2026749999999999</v>
      </c>
      <c r="D8" s="26" t="s">
        <v>43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8">
        <f ca="1">INTERCEPT(INDIRECT($G$11):G992,INDIRECT($F$11):F992)</f>
        <v>3.8657609638945069E-3</v>
      </c>
      <c r="D11" s="3"/>
      <c r="E11" s="10"/>
      <c r="F11" s="19" t="str">
        <f>"F"&amp;E19</f>
        <v>F21</v>
      </c>
      <c r="G11" s="20" t="str">
        <f>"G"&amp;E19</f>
        <v>G21</v>
      </c>
    </row>
    <row r="12" spans="1:7" x14ac:dyDescent="0.2">
      <c r="A12" s="10" t="s">
        <v>16</v>
      </c>
      <c r="B12" s="10"/>
      <c r="C12" s="18">
        <f ca="1">SLOPE(INDIRECT($G$11):G992,INDIRECT($F$11):F992)</f>
        <v>7.004167782628302E-6</v>
      </c>
      <c r="D12" s="3"/>
      <c r="E12" s="37" t="s">
        <v>47</v>
      </c>
      <c r="F12" s="38" t="s">
        <v>50</v>
      </c>
    </row>
    <row r="13" spans="1:7" x14ac:dyDescent="0.2">
      <c r="A13" s="10" t="s">
        <v>18</v>
      </c>
      <c r="B13" s="10"/>
      <c r="C13" s="3" t="s">
        <v>13</v>
      </c>
      <c r="D13" s="14"/>
      <c r="E13" s="34" t="s">
        <v>35</v>
      </c>
      <c r="F13" s="39">
        <v>1</v>
      </c>
    </row>
    <row r="14" spans="1:7" x14ac:dyDescent="0.2">
      <c r="A14" s="10"/>
      <c r="B14" s="10"/>
      <c r="C14" s="10"/>
      <c r="D14" s="14"/>
      <c r="E14" s="34" t="s">
        <v>32</v>
      </c>
      <c r="F14" s="39">
        <f ca="1">NOW()+15018.5+$C$9/24</f>
        <v>60883.853195833333</v>
      </c>
    </row>
    <row r="15" spans="1:7" x14ac:dyDescent="0.2">
      <c r="A15" s="12" t="s">
        <v>17</v>
      </c>
      <c r="B15" s="10"/>
      <c r="C15" s="13">
        <f ca="1">(C7+C11)+(C8+C12)*INT(MAX(F21:F3533))</f>
        <v>57882.937865760963</v>
      </c>
      <c r="D15" s="14"/>
      <c r="E15" s="34" t="s">
        <v>36</v>
      </c>
      <c r="F15" s="39">
        <f ca="1">ROUND(2*($F$14-$C$7)/$C$8,0)/2+$F$13</f>
        <v>2496</v>
      </c>
    </row>
    <row r="16" spans="1:7" x14ac:dyDescent="0.2">
      <c r="A16" s="15" t="s">
        <v>4</v>
      </c>
      <c r="B16" s="10"/>
      <c r="C16" s="16">
        <f ca="1">+C8+C12</f>
        <v>1.2026820041677826</v>
      </c>
      <c r="D16" s="14"/>
      <c r="E16" s="34" t="s">
        <v>37</v>
      </c>
      <c r="F16" s="39">
        <f ca="1">ROUND(2*($F$14-$C$15)/$C$16,0)/2+$F$13</f>
        <v>2496</v>
      </c>
    </row>
    <row r="17" spans="1:19" ht="13.5" thickBot="1" x14ac:dyDescent="0.25">
      <c r="A17" s="14" t="s">
        <v>29</v>
      </c>
      <c r="B17" s="10"/>
      <c r="C17" s="10">
        <f>COUNT(C21:C2191)</f>
        <v>5</v>
      </c>
      <c r="D17" s="14"/>
      <c r="E17" s="35" t="s">
        <v>48</v>
      </c>
      <c r="F17" s="40">
        <f ca="1">+$C$15+$C$16*$F$16-15018.5-$C$9/24</f>
        <v>45866.727981497083</v>
      </c>
    </row>
    <row r="18" spans="1:19" ht="14.25" thickTop="1" thickBot="1" x14ac:dyDescent="0.25">
      <c r="A18" s="15" t="s">
        <v>5</v>
      </c>
      <c r="B18" s="10"/>
      <c r="C18" s="17">
        <f ca="1">+C15</f>
        <v>57882.937865760963</v>
      </c>
      <c r="D18" s="33">
        <f ca="1">+C16</f>
        <v>1.2026820041677826</v>
      </c>
      <c r="E18" s="36" t="s">
        <v>49</v>
      </c>
      <c r="F18" s="41">
        <f ca="1">+($C$15+$C$16*$F$16)-($C$16/2)-15018.5-$C$9/24</f>
        <v>45866.126640495</v>
      </c>
    </row>
    <row r="19" spans="1:19" ht="13.5" thickTop="1" x14ac:dyDescent="0.2">
      <c r="A19" s="21" t="s">
        <v>33</v>
      </c>
      <c r="E19" s="22">
        <v>21</v>
      </c>
      <c r="S19">
        <f ca="1">SQRT(SUM(S21:S50)/(COUNT(S21:S50)-1))</f>
        <v>6.2064116469607777E-3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28</v>
      </c>
      <c r="J20" s="7" t="s">
        <v>45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3" t="s">
        <v>34</v>
      </c>
    </row>
    <row r="21" spans="1:19" x14ac:dyDescent="0.2">
      <c r="A21" s="42" t="s">
        <v>51</v>
      </c>
      <c r="C21" s="8">
        <v>54753.555999999997</v>
      </c>
      <c r="D21" s="8" t="s">
        <v>13</v>
      </c>
      <c r="E21">
        <f>+(C21-C$7)/C$8</f>
        <v>-2602.0146756189365</v>
      </c>
      <c r="F21">
        <f>ROUND(2*E21,0)/2</f>
        <v>-2602</v>
      </c>
      <c r="G21">
        <f>+C21-(C$7+F21*C$8)</f>
        <v>-1.765000000159489E-2</v>
      </c>
      <c r="H21">
        <f>+G21</f>
        <v>-1.765000000159489E-2</v>
      </c>
      <c r="O21">
        <f ca="1">+C$11+C$12*$F21</f>
        <v>-1.4359083606504336E-2</v>
      </c>
      <c r="Q21" s="2">
        <f>+C21-15018.5</f>
        <v>39735.055999999997</v>
      </c>
      <c r="S21">
        <f ca="1">+(O21-G21)^2</f>
        <v>1.0830130719475805E-5</v>
      </c>
    </row>
    <row r="22" spans="1:19" x14ac:dyDescent="0.2">
      <c r="A22" s="29" t="s">
        <v>44</v>
      </c>
      <c r="B22" s="30" t="s">
        <v>52</v>
      </c>
      <c r="C22" s="31">
        <v>56443.922689999999</v>
      </c>
      <c r="D22" s="31">
        <v>4.8000000000000001E-4</v>
      </c>
      <c r="E22">
        <f>+(C22-C$7)/C$8</f>
        <v>-1196.5088739684468</v>
      </c>
      <c r="F22">
        <f>ROUND(2*E22,0)/2</f>
        <v>-1196.5</v>
      </c>
      <c r="G22">
        <f>+C22-(C$7+F22*C$8)</f>
        <v>-1.0672500000509899E-2</v>
      </c>
      <c r="J22">
        <f>+G22</f>
        <v>-1.0672500000509899E-2</v>
      </c>
      <c r="O22">
        <f ca="1">+C$11+C$12*$F22</f>
        <v>-4.5147257880202556E-3</v>
      </c>
      <c r="Q22" s="2">
        <f>+C22-15018.5</f>
        <v>41425.422689999999</v>
      </c>
      <c r="S22">
        <f ca="1">+(O22-G22)^2</f>
        <v>3.7918183252002452E-5</v>
      </c>
    </row>
    <row r="23" spans="1:19" x14ac:dyDescent="0.2">
      <c r="A23" s="29" t="s">
        <v>44</v>
      </c>
      <c r="B23" s="30" t="s">
        <v>52</v>
      </c>
      <c r="C23" s="31">
        <v>56443.934569999998</v>
      </c>
      <c r="D23" s="31">
        <v>6.9999999999999994E-5</v>
      </c>
      <c r="E23">
        <f>+(C23-C$7)/C$8</f>
        <v>-1196.4989959881127</v>
      </c>
      <c r="F23">
        <f>ROUND(2*E23,0)/2</f>
        <v>-1196.5</v>
      </c>
      <c r="G23">
        <f>+C23-(C$7+F23*C$8)</f>
        <v>1.20749999769032E-3</v>
      </c>
      <c r="J23">
        <f>+G23</f>
        <v>1.20749999769032E-3</v>
      </c>
      <c r="O23">
        <f ca="1">+C$11+C$12*$F23</f>
        <v>-4.5147257880202556E-3</v>
      </c>
      <c r="Q23" s="2">
        <f>+C23-15018.5</f>
        <v>41425.434569999998</v>
      </c>
      <c r="S23">
        <f ca="1">+(O23-G23)^2</f>
        <v>3.2743867942651013E-5</v>
      </c>
    </row>
    <row r="24" spans="1:19" x14ac:dyDescent="0.2">
      <c r="A24" s="29" t="s">
        <v>44</v>
      </c>
      <c r="B24" s="30" t="s">
        <v>52</v>
      </c>
      <c r="C24" s="31">
        <v>56443.936439999998</v>
      </c>
      <c r="D24" s="31">
        <v>2.9999999999999997E-4</v>
      </c>
      <c r="E24">
        <f>+(C24-C$7)/C$8</f>
        <v>-1196.4974411208377</v>
      </c>
      <c r="F24">
        <f>ROUND(2*E24,0)/2</f>
        <v>-1196.5</v>
      </c>
      <c r="G24">
        <f>+C24-(C$7+F24*C$8)</f>
        <v>3.0774999977438711E-3</v>
      </c>
      <c r="J24">
        <f>+G24</f>
        <v>3.0774999977438711E-3</v>
      </c>
      <c r="O24">
        <f ca="1">+C$11+C$12*$F24</f>
        <v>-4.5147257880202556E-3</v>
      </c>
      <c r="Q24" s="2">
        <f>+C24-15018.5</f>
        <v>41425.436439999998</v>
      </c>
      <c r="S24">
        <f ca="1">+(O24-G24)^2</f>
        <v>5.7641892382021711E-5</v>
      </c>
    </row>
    <row r="25" spans="1:19" x14ac:dyDescent="0.2">
      <c r="A25" s="43" t="s">
        <v>43</v>
      </c>
      <c r="C25" s="44">
        <v>57882.934000000001</v>
      </c>
      <c r="D25" s="8"/>
      <c r="E25">
        <f>+(C25-C$7)/C$8</f>
        <v>0</v>
      </c>
      <c r="F25">
        <f>ROUND(2*E25,0)/2</f>
        <v>0</v>
      </c>
      <c r="G25">
        <f>+C25-(C$7+F25*C$8)</f>
        <v>0</v>
      </c>
      <c r="H25">
        <f>+G25</f>
        <v>0</v>
      </c>
      <c r="O25">
        <f ca="1">+C$11+C$12*$F25</f>
        <v>3.8657609638945069E-3</v>
      </c>
      <c r="Q25" s="2">
        <f>+C25-15018.5</f>
        <v>42864.434000000001</v>
      </c>
      <c r="S25">
        <f ca="1">+(O25-G25)^2</f>
        <v>1.4944107829970587E-5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E1" r:id="rId1" display="https://vsx.aavso.org/index.php?view=detail.top&amp;oid=112322" xr:uid="{20CE5B7D-5554-4F55-B600-CAD41A34F5D4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2025-07-27T08:28:36Z</dcterms:modified>
</cp:coreProperties>
</file>