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234A83F-EF7B-4C57-83A2-A9FFE04C3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E49" i="2" l="1"/>
  <c r="F49" i="2" s="1"/>
  <c r="G49" i="2" s="1"/>
  <c r="K49" i="2" s="1"/>
  <c r="Q49" i="2"/>
  <c r="Q47" i="2"/>
  <c r="Q48" i="2"/>
  <c r="Q46" i="2"/>
  <c r="Q43" i="2"/>
  <c r="Q44" i="2"/>
  <c r="Q45" i="2"/>
  <c r="F16" i="2"/>
  <c r="F17" i="2" s="1"/>
  <c r="Q37" i="2"/>
  <c r="D9" i="2"/>
  <c r="C9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1" i="2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26" i="3"/>
  <c r="C26" i="3"/>
  <c r="G27" i="3"/>
  <c r="C27" i="3"/>
  <c r="G28" i="3"/>
  <c r="C28" i="3"/>
  <c r="G29" i="3"/>
  <c r="C29" i="3"/>
  <c r="G11" i="3"/>
  <c r="C11" i="3"/>
  <c r="G30" i="3"/>
  <c r="C30" i="3"/>
  <c r="G12" i="3"/>
  <c r="C12" i="3"/>
  <c r="G13" i="3"/>
  <c r="C13" i="3"/>
  <c r="G14" i="3"/>
  <c r="C14" i="3"/>
  <c r="G15" i="3"/>
  <c r="C15" i="3"/>
  <c r="G16" i="3"/>
  <c r="C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30" i="3"/>
  <c r="B30" i="3"/>
  <c r="D30" i="3"/>
  <c r="A30" i="3"/>
  <c r="H11" i="3"/>
  <c r="B11" i="3"/>
  <c r="D11" i="3"/>
  <c r="A11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Q42" i="2"/>
  <c r="R18" i="2"/>
  <c r="C7" i="2"/>
  <c r="E47" i="2"/>
  <c r="F47" i="2"/>
  <c r="C17" i="2"/>
  <c r="Q22" i="2"/>
  <c r="Q36" i="2"/>
  <c r="Q38" i="2"/>
  <c r="Q39" i="2"/>
  <c r="Q40" i="2"/>
  <c r="Q41" i="2"/>
  <c r="E20" i="3"/>
  <c r="E24" i="3"/>
  <c r="E21" i="3"/>
  <c r="E29" i="3"/>
  <c r="E24" i="2"/>
  <c r="F24" i="2"/>
  <c r="G24" i="2"/>
  <c r="I24" i="2"/>
  <c r="G38" i="2"/>
  <c r="K38" i="2"/>
  <c r="E36" i="2"/>
  <c r="F36" i="2"/>
  <c r="G36" i="2"/>
  <c r="K36" i="2"/>
  <c r="E21" i="2"/>
  <c r="F21" i="2"/>
  <c r="G21" i="2"/>
  <c r="I21" i="2"/>
  <c r="G48" i="2"/>
  <c r="K48" i="2"/>
  <c r="E30" i="2"/>
  <c r="F30" i="2"/>
  <c r="G30" i="2"/>
  <c r="I30" i="2"/>
  <c r="E22" i="2"/>
  <c r="F22" i="2"/>
  <c r="G22" i="2"/>
  <c r="E38" i="2"/>
  <c r="F38" i="2"/>
  <c r="G45" i="2"/>
  <c r="K45" i="2"/>
  <c r="E23" i="2"/>
  <c r="F23" i="2"/>
  <c r="E41" i="2"/>
  <c r="F41" i="2"/>
  <c r="G41" i="2"/>
  <c r="K41" i="2"/>
  <c r="E33" i="2"/>
  <c r="F33" i="2"/>
  <c r="E46" i="2"/>
  <c r="F46" i="2"/>
  <c r="E29" i="2"/>
  <c r="E35" i="2"/>
  <c r="F35" i="2"/>
  <c r="G35" i="2"/>
  <c r="I35" i="2"/>
  <c r="E43" i="2"/>
  <c r="F43" i="2"/>
  <c r="G43" i="2"/>
  <c r="K43" i="2"/>
  <c r="E48" i="2"/>
  <c r="F48" i="2"/>
  <c r="E28" i="2"/>
  <c r="F28" i="2"/>
  <c r="E40" i="2"/>
  <c r="F40" i="2"/>
  <c r="G40" i="2"/>
  <c r="K40" i="2"/>
  <c r="G34" i="2"/>
  <c r="I34" i="2"/>
  <c r="E32" i="2"/>
  <c r="F32" i="2"/>
  <c r="G32" i="2"/>
  <c r="I32" i="2"/>
  <c r="G28" i="2"/>
  <c r="I28" i="2"/>
  <c r="E45" i="2"/>
  <c r="F45" i="2"/>
  <c r="E27" i="2"/>
  <c r="F27" i="2"/>
  <c r="E37" i="2"/>
  <c r="G31" i="2"/>
  <c r="I31" i="2"/>
  <c r="G44" i="2"/>
  <c r="K44" i="2"/>
  <c r="G47" i="2"/>
  <c r="K47" i="2"/>
  <c r="E26" i="2"/>
  <c r="F26" i="2"/>
  <c r="G26" i="2"/>
  <c r="I26" i="2"/>
  <c r="E42" i="2"/>
  <c r="F42" i="2"/>
  <c r="G42" i="2"/>
  <c r="K42" i="2"/>
  <c r="E34" i="2"/>
  <c r="F34" i="2"/>
  <c r="G27" i="2"/>
  <c r="I27" i="2"/>
  <c r="G23" i="2"/>
  <c r="I23" i="2"/>
  <c r="E25" i="2"/>
  <c r="F25" i="2"/>
  <c r="G25" i="2"/>
  <c r="I25" i="2"/>
  <c r="E39" i="2"/>
  <c r="F39" i="2"/>
  <c r="G39" i="2"/>
  <c r="K39" i="2"/>
  <c r="G33" i="2"/>
  <c r="I33" i="2"/>
  <c r="E31" i="2"/>
  <c r="F31" i="2"/>
  <c r="E44" i="2"/>
  <c r="F44" i="2"/>
  <c r="G46" i="2"/>
  <c r="K46" i="2"/>
  <c r="H22" i="2"/>
  <c r="E26" i="3"/>
  <c r="E11" i="3"/>
  <c r="E23" i="3"/>
  <c r="F29" i="2"/>
  <c r="G29" i="2"/>
  <c r="E18" i="3"/>
  <c r="E25" i="3"/>
  <c r="E14" i="3"/>
  <c r="E16" i="3"/>
  <c r="E30" i="3"/>
  <c r="F37" i="2"/>
  <c r="G37" i="2"/>
  <c r="K37" i="2"/>
  <c r="E17" i="3"/>
  <c r="E15" i="3"/>
  <c r="E12" i="3"/>
  <c r="E28" i="3"/>
  <c r="E19" i="3"/>
  <c r="E22" i="3"/>
  <c r="E13" i="3"/>
  <c r="E27" i="3"/>
  <c r="I29" i="2"/>
  <c r="C12" i="2"/>
  <c r="C11" i="2"/>
  <c r="O49" i="2" l="1"/>
  <c r="O34" i="2"/>
  <c r="O45" i="2"/>
  <c r="O21" i="2"/>
  <c r="O44" i="2"/>
  <c r="O26" i="2"/>
  <c r="O37" i="2"/>
  <c r="O36" i="2"/>
  <c r="O29" i="2"/>
  <c r="O25" i="2"/>
  <c r="O35" i="2"/>
  <c r="O31" i="2"/>
  <c r="O48" i="2"/>
  <c r="O27" i="2"/>
  <c r="O41" i="2"/>
  <c r="O28" i="2"/>
  <c r="O32" i="2"/>
  <c r="O40" i="2"/>
  <c r="O47" i="2"/>
  <c r="C15" i="2"/>
  <c r="O42" i="2"/>
  <c r="O33" i="2"/>
  <c r="O24" i="2"/>
  <c r="O22" i="2"/>
  <c r="O23" i="2"/>
  <c r="O43" i="2"/>
  <c r="O38" i="2"/>
  <c r="O46" i="2"/>
  <c r="O30" i="2"/>
  <c r="O39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<sst xmlns="http://schemas.openxmlformats.org/spreadsheetml/2006/main" count="282" uniqueCount="136">
  <si>
    <t>VSB-66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</si>
  <si>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</si>
  <si>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</si>
  <si>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</si>
  <si>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</si>
  <si>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</si>
  <si>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</si>
  <si>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</si>
  <si>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</si>
  <si>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</si>
  <si>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</si>
  <si>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</si>
  <si>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</si>
  <si>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</si>
  <si>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</si>
  <si>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</si>
  <si>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</si>
  <si>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</si>
  <si>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</si>
  <si>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</si>
  <si>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</si>
  <si>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</si>
  <si>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</si>
  <si>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</si>
  <si>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</si>
  <si>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</si>
  <si>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</si>
  <si>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5502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</si>
  <si>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</si>
  <si>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</si>
  <si>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</si>
  <si>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</si>
  <si>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</si>
  <si>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</si>
  <si>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</si>
  <si>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CW Aqr / GSC 06378-00652</t>
  </si>
  <si>
    <t>EB</t>
  </si>
  <si>
    <t>IBVS 5843</t>
  </si>
  <si>
    <t>I</t>
  </si>
  <si>
    <t>II</t>
  </si>
  <si>
    <t>OEJV 0168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</si>
  <si>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</si>
  <si>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</si>
  <si>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</si>
  <si>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</si>
  <si>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</si>
  <si>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</si>
  <si>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</si>
  <si>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</si>
  <si>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</si>
  <si>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</si>
  <si>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</si>
  <si>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</si>
  <si>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2426192.539 </t>
  </si>
  <si>
    <t> 04.08.1930 00:56 </t>
  </si>
  <si>
    <t> -0.067 </t>
  </si>
  <si>
    <t>P </t>
  </si>
  <si>
    <t> A.Jensch </t>
  </si>
  <si>
    <t> AN 255.423 </t>
  </si>
  <si>
    <t>2426265.313 </t>
  </si>
  <si>
    <t> 15.10.1930 19:30 </t>
  </si>
  <si>
    <t> -0.042 </t>
  </si>
  <si>
    <t>2426651.299 </t>
  </si>
  <si>
    <t> 05.11.1931 19:10 </t>
  </si>
  <si>
    <t> -0.064 </t>
  </si>
  <si>
    <t>2426956.435 </t>
  </si>
  <si>
    <t> 05.09.1932 22:26 </t>
  </si>
  <si>
    <t>2427342.416 </t>
  </si>
  <si>
    <t> 26.09.1933 21:59 </t>
  </si>
  <si>
    <t> -0.068 </t>
  </si>
  <si>
    <t>2427385.308 </t>
  </si>
  <si>
    <t> 08.11.1933 19:23 </t>
  </si>
  <si>
    <t> -0.066 </t>
  </si>
  <si>
    <t>2427397.251 </t>
  </si>
  <si>
    <t> 20.11.1933 18:01 </t>
  </si>
  <si>
    <t>V </t>
  </si>
  <si>
    <t>2427398.365 </t>
  </si>
  <si>
    <t> 21.11.1933 20:45 </t>
  </si>
  <si>
    <t> -0.039 </t>
  </si>
  <si>
    <t>2427416.257 </t>
  </si>
  <si>
    <t> 09.12.1933 18:10 </t>
  </si>
  <si>
    <t> -0.063 </t>
  </si>
  <si>
    <t>2427417.354 </t>
  </si>
  <si>
    <t> 10.12.1933 20:29 </t>
  </si>
  <si>
    <t> -0.051 </t>
  </si>
  <si>
    <t>2427628.519 </t>
  </si>
  <si>
    <t> 10.07.1934 00:27 </t>
  </si>
  <si>
    <t> -0.078 </t>
  </si>
  <si>
    <t>2427689.333 </t>
  </si>
  <si>
    <t> 08.09.1934 19:59 </t>
  </si>
  <si>
    <t> -0.069 </t>
  </si>
  <si>
    <t>2427745.278 </t>
  </si>
  <si>
    <t> 03.11.1934 18:40 </t>
  </si>
  <si>
    <t> -0.044 </t>
  </si>
  <si>
    <t>2427746.345 </t>
  </si>
  <si>
    <t> 04.11.1934 20:16 </t>
  </si>
  <si>
    <t>2452971.5268 </t>
  </si>
  <si>
    <t> 28.11.2003 00:38 </t>
  </si>
  <si>
    <t> -0.0012 </t>
  </si>
  <si>
    <t>E </t>
  </si>
  <si>
    <t>?</t>
  </si>
  <si>
    <t> S.Dvorak </t>
  </si>
  <si>
    <t>IBVS 5502 </t>
  </si>
  <si>
    <t>2453973.1938 </t>
  </si>
  <si>
    <t> 25.08.2006 16:39 </t>
  </si>
  <si>
    <t> 0.0011 </t>
  </si>
  <si>
    <t> K.Nagai et al. </t>
  </si>
  <si>
    <t>VSB 45 </t>
  </si>
  <si>
    <t>2453974.8142 </t>
  </si>
  <si>
    <t> 27.08.2006 07:32 </t>
  </si>
  <si>
    <t> -0.0072 </t>
  </si>
  <si>
    <t>C </t>
  </si>
  <si>
    <t>-I</t>
  </si>
  <si>
    <t> W.Ogloza et al. </t>
  </si>
  <si>
    <t>IBVS 5843 </t>
  </si>
  <si>
    <t>2453976.7327 </t>
  </si>
  <si>
    <t> 29.08.2006 05:35 </t>
  </si>
  <si>
    <t>2057.5</t>
  </si>
  <si>
    <t> 0.0111 </t>
  </si>
  <si>
    <t>2453980.7923 </t>
  </si>
  <si>
    <t> 02.09.2006 07:00 </t>
  </si>
  <si>
    <t>2065</t>
  </si>
  <si>
    <t> -0.0011 </t>
  </si>
  <si>
    <t>2454032.6475 </t>
  </si>
  <si>
    <t> 24.10.2006 03:32 </t>
  </si>
  <si>
    <t>2160.5</t>
  </si>
  <si>
    <t> 0.0064 </t>
  </si>
  <si>
    <t>s5</t>
  </si>
  <si>
    <t>s6</t>
  </si>
  <si>
    <t>s7</t>
  </si>
  <si>
    <t>Add cycle</t>
  </si>
  <si>
    <t>Old Cycle</t>
  </si>
  <si>
    <t>VSB_061</t>
  </si>
  <si>
    <t>Ic</t>
  </si>
  <si>
    <t>VSB 067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</si>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</sst>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6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Aqr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58966565349544"/>
          <c:w val="0.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8D-401E-8C0D-76544B2078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2.0999999999999999E-3</c:v>
                  </c:pt>
                  <c:pt idx="17">
                    <c:v>1.5E-3</c:v>
                  </c:pt>
                  <c:pt idx="18">
                    <c:v>1.6000000000000001E-3</c:v>
                  </c:pt>
                  <c:pt idx="19">
                    <c:v>1.4E-3</c:v>
                  </c:pt>
                  <c:pt idx="20">
                    <c:v>2.9999999999999997E-4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2.0999999999999999E-3</c:v>
                  </c:pt>
                  <c:pt idx="17">
                    <c:v>1.5E-3</c:v>
                  </c:pt>
                  <c:pt idx="18">
                    <c:v>1.6000000000000001E-3</c:v>
                  </c:pt>
                  <c:pt idx="19">
                    <c:v>1.4E-3</c:v>
                  </c:pt>
                  <c:pt idx="20">
                    <c:v>2.9999999999999997E-4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-8.9999999981955625E-3</c:v>
                </c:pt>
                <c:pt idx="2">
                  <c:v>1.5193999999610242E-2</c:v>
                </c:pt>
                <c:pt idx="3">
                  <c:v>-7.105000000592554E-3</c:v>
                </c:pt>
                <c:pt idx="4">
                  <c:v>1.4037000000826083E-2</c:v>
                </c:pt>
                <c:pt idx="5">
                  <c:v>-1.3261999996757368E-2</c:v>
                </c:pt>
                <c:pt idx="6">
                  <c:v>-1.1072999997850275E-2</c:v>
                </c:pt>
                <c:pt idx="7">
                  <c:v>-1.207099999737693E-2</c:v>
                </c:pt>
                <c:pt idx="8">
                  <c:v>1.611100000445731E-2</c:v>
                </c:pt>
                <c:pt idx="9">
                  <c:v>-7.8859999957785476E-3</c:v>
                </c:pt>
                <c:pt idx="10">
                  <c:v>3.2959999989543576E-3</c:v>
                </c:pt>
                <c:pt idx="11">
                  <c:v>-2.3304999998799758E-2</c:v>
                </c:pt>
                <c:pt idx="12">
                  <c:v>-1.5113000001292676E-2</c:v>
                </c:pt>
                <c:pt idx="13">
                  <c:v>1.0259999999107094E-2</c:v>
                </c:pt>
                <c:pt idx="14">
                  <c:v>-8.5579999977198895E-3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8D-401E-8C0D-76544B2078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2.0999999999999999E-3</c:v>
                  </c:pt>
                  <c:pt idx="18">
                    <c:v>1.5E-3</c:v>
                  </c:pt>
                  <c:pt idx="19">
                    <c:v>1.6000000000000001E-3</c:v>
                  </c:pt>
                  <c:pt idx="20">
                    <c:v>1.4E-3</c:v>
                  </c:pt>
                  <c:pt idx="21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2.0999999999999999E-3</c:v>
                  </c:pt>
                  <c:pt idx="18">
                    <c:v>1.5E-3</c:v>
                  </c:pt>
                  <c:pt idx="19">
                    <c:v>1.6000000000000001E-3</c:v>
                  </c:pt>
                  <c:pt idx="20">
                    <c:v>1.4E-3</c:v>
                  </c:pt>
                  <c:pt idx="21">
                    <c:v>2.9999999999999997E-4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8D-401E-8C0D-76544B2078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5">
                  <c:v>-7.6249999983701855E-3</c:v>
                </c:pt>
                <c:pt idx="16">
                  <c:v>-7.7299999975366518E-3</c:v>
                </c:pt>
                <c:pt idx="17">
                  <c:v>-1.6056999993452337E-2</c:v>
                </c:pt>
                <c:pt idx="18">
                  <c:v>2.2614999979850836E-3</c:v>
                </c:pt>
                <c:pt idx="19">
                  <c:v>-9.9559999944176525E-3</c:v>
                </c:pt>
                <c:pt idx="20">
                  <c:v>-2.5654999990365468E-3</c:v>
                </c:pt>
                <c:pt idx="21">
                  <c:v>-1.0192000001552515E-2</c:v>
                </c:pt>
                <c:pt idx="22">
                  <c:v>-7.0310000301105902E-3</c:v>
                </c:pt>
                <c:pt idx="23">
                  <c:v>-7.0310000301105902E-3</c:v>
                </c:pt>
                <c:pt idx="24">
                  <c:v>-7.0309999937308021E-3</c:v>
                </c:pt>
                <c:pt idx="25">
                  <c:v>1.1300014739390463E-4</c:v>
                </c:pt>
                <c:pt idx="26">
                  <c:v>-1.1367999999492895E-2</c:v>
                </c:pt>
                <c:pt idx="27">
                  <c:v>-6.4649999985704198E-3</c:v>
                </c:pt>
                <c:pt idx="28">
                  <c:v>-2.0329999679233879E-3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8D-401E-8C0D-76544B2078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8D-401E-8C0D-76544B2078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8D-401E-8C0D-76544B2078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8D-401E-8C0D-76544B2078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-2.6727877389541026E-3</c:v>
                </c:pt>
                <c:pt idx="1">
                  <c:v>-2.6727877389541026E-3</c:v>
                </c:pt>
                <c:pt idx="2">
                  <c:v>-2.6823821384775229E-3</c:v>
                </c:pt>
                <c:pt idx="3">
                  <c:v>-2.7332897359488061E-3</c:v>
                </c:pt>
                <c:pt idx="4">
                  <c:v>-2.7735289339500175E-3</c:v>
                </c:pt>
                <c:pt idx="5">
                  <c:v>-2.8244365314213007E-3</c:v>
                </c:pt>
                <c:pt idx="6">
                  <c:v>-2.8300929311403321E-3</c:v>
                </c:pt>
                <c:pt idx="7">
                  <c:v>-2.8316681310620877E-3</c:v>
                </c:pt>
                <c:pt idx="8">
                  <c:v>-2.8318113310549747E-3</c:v>
                </c:pt>
                <c:pt idx="9">
                  <c:v>-2.834174130937608E-3</c:v>
                </c:pt>
                <c:pt idx="10">
                  <c:v>-2.8343173309304946E-3</c:v>
                </c:pt>
                <c:pt idx="11">
                  <c:v>-2.8621697295469917E-3</c:v>
                </c:pt>
                <c:pt idx="12">
                  <c:v>-2.8701889291486565E-3</c:v>
                </c:pt>
                <c:pt idx="13">
                  <c:v>-2.8775637287823301E-3</c:v>
                </c:pt>
                <c:pt idx="14">
                  <c:v>-2.8777069287752172E-3</c:v>
                </c:pt>
                <c:pt idx="15">
                  <c:v>-6.2044575635265969E-3</c:v>
                </c:pt>
                <c:pt idx="16">
                  <c:v>-6.3365595569647368E-3</c:v>
                </c:pt>
                <c:pt idx="17">
                  <c:v>-6.3367743569540669E-3</c:v>
                </c:pt>
                <c:pt idx="18">
                  <c:v>-6.337024956941619E-3</c:v>
                </c:pt>
                <c:pt idx="19">
                  <c:v>-6.3375619569149451E-3</c:v>
                </c:pt>
                <c:pt idx="20">
                  <c:v>-6.3443997565752926E-3</c:v>
                </c:pt>
                <c:pt idx="21">
                  <c:v>-6.7223403378019707E-3</c:v>
                </c:pt>
                <c:pt idx="22">
                  <c:v>-6.77253193530882E-3</c:v>
                </c:pt>
                <c:pt idx="23">
                  <c:v>-6.77253193530882E-3</c:v>
                </c:pt>
                <c:pt idx="24">
                  <c:v>-6.77253193530882E-3</c:v>
                </c:pt>
                <c:pt idx="25">
                  <c:v>-6.9145863282525973E-3</c:v>
                </c:pt>
                <c:pt idx="26">
                  <c:v>-6.9653507257309948E-3</c:v>
                </c:pt>
                <c:pt idx="27">
                  <c:v>-6.9677135256136277E-3</c:v>
                </c:pt>
                <c:pt idx="28">
                  <c:v>-7.0645167208051533E-3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8D-401E-8C0D-76544B2078F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134</c:v>
                </c:pt>
                <c:pt idx="3">
                  <c:v>845</c:v>
                </c:pt>
                <c:pt idx="4">
                  <c:v>1407</c:v>
                </c:pt>
                <c:pt idx="5">
                  <c:v>2118</c:v>
                </c:pt>
                <c:pt idx="6">
                  <c:v>2197</c:v>
                </c:pt>
                <c:pt idx="7">
                  <c:v>2219</c:v>
                </c:pt>
                <c:pt idx="8">
                  <c:v>2221</c:v>
                </c:pt>
                <c:pt idx="9">
                  <c:v>2254</c:v>
                </c:pt>
                <c:pt idx="10">
                  <c:v>2256</c:v>
                </c:pt>
                <c:pt idx="11">
                  <c:v>2645</c:v>
                </c:pt>
                <c:pt idx="12">
                  <c:v>2757</c:v>
                </c:pt>
                <c:pt idx="13">
                  <c:v>2860</c:v>
                </c:pt>
                <c:pt idx="14">
                  <c:v>2862</c:v>
                </c:pt>
                <c:pt idx="15">
                  <c:v>49325</c:v>
                </c:pt>
                <c:pt idx="16">
                  <c:v>51170</c:v>
                </c:pt>
                <c:pt idx="17">
                  <c:v>51173</c:v>
                </c:pt>
                <c:pt idx="18">
                  <c:v>51176.5</c:v>
                </c:pt>
                <c:pt idx="19">
                  <c:v>51184</c:v>
                </c:pt>
                <c:pt idx="20">
                  <c:v>51279.5</c:v>
                </c:pt>
                <c:pt idx="21">
                  <c:v>56558</c:v>
                </c:pt>
                <c:pt idx="22">
                  <c:v>57259</c:v>
                </c:pt>
                <c:pt idx="23">
                  <c:v>57259</c:v>
                </c:pt>
                <c:pt idx="24">
                  <c:v>57259</c:v>
                </c:pt>
                <c:pt idx="25">
                  <c:v>59243</c:v>
                </c:pt>
                <c:pt idx="26">
                  <c:v>59952</c:v>
                </c:pt>
                <c:pt idx="27">
                  <c:v>59985</c:v>
                </c:pt>
                <c:pt idx="28">
                  <c:v>61337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8D-401E-8C0D-76544B20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824376"/>
        <c:axId val="1"/>
      </c:scatterChart>
      <c:valAx>
        <c:axId val="458824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8824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096774193548386"/>
          <c:y val="0.92097264437689974"/>
          <c:w val="0.7564516129032259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1</xdr:rowOff>
    </xdr:from>
    <xdr:to>
      <xdr:col>17</xdr:col>
      <xdr:colOff>438149</xdr:colOff>
      <xdr:row>18</xdr:row>
      <xdr:rowOff>38101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FC917F45-BC4A-589F-76E4-984D9B4A6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konkoly.hu/cgi-bin/IBVS?5843" TargetMode="External"/><Relationship Id="rId2" Type="http://schemas.openxmlformats.org/officeDocument/2006/relationships/hyperlink" Target="http://www.konkoly.hu/cgi-bin/IBVS?550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35</v>
      </c>
    </row>
    <row r="2" spans="1:6">
      <c r="A2" t="s">
        <v>26</v>
      </c>
      <c r="B2" t="s">
        <v>36</v>
      </c>
    </row>
    <row r="3" spans="1:6" ht="13.5" thickBot="1"/>
    <row r="4" spans="1:6" ht="14.25" thickTop="1" thickBot="1">
      <c r="A4" s="7" t="s">
        <v>2</v>
      </c>
      <c r="C4" s="3">
        <v>26192.547999999999</v>
      </c>
      <c r="D4" s="4">
        <v>0.54290899999999997</v>
      </c>
    </row>
    <row r="5" spans="1:6" ht="13.5" thickTop="1">
      <c r="A5" s="10" t="s">
        <v>28</v>
      </c>
      <c r="B5" s="11"/>
      <c r="C5" s="12">
        <v>-9.5</v>
      </c>
      <c r="D5" s="11" t="s">
        <v>29</v>
      </c>
    </row>
    <row r="6" spans="1:6">
      <c r="A6" s="7" t="s">
        <v>3</v>
      </c>
    </row>
    <row r="7" spans="1:6">
      <c r="A7" t="s">
        <v>4</v>
      </c>
      <c r="C7">
        <f>+C4</f>
        <v>26192.547999999999</v>
      </c>
    </row>
    <row r="8" spans="1:6">
      <c r="A8" t="s">
        <v>5</v>
      </c>
      <c r="C8">
        <v>0.54290899999999997</v>
      </c>
    </row>
    <row r="9" spans="1:6">
      <c r="A9" s="25" t="s">
        <v>34</v>
      </c>
      <c r="B9" s="26">
        <v>22</v>
      </c>
      <c r="C9" s="14" t="str">
        <f>"F"&amp;B9</f>
        <v>F22</v>
      </c>
      <c r="D9" s="15" t="str">
        <f>"G"&amp;B9</f>
        <v>G22</v>
      </c>
    </row>
    <row r="10" spans="1:6" ht="13.5" thickBot="1">
      <c r="A10" s="11"/>
      <c r="B10" s="11"/>
      <c r="C10" s="6" t="s">
        <v>22</v>
      </c>
      <c r="D10" s="6" t="s">
        <v>23</v>
      </c>
      <c r="E10" s="11"/>
    </row>
    <row r="11" spans="1:6">
      <c r="A11" s="11" t="s">
        <v>18</v>
      </c>
      <c r="B11" s="11"/>
      <c r="C11" s="13">
        <f ca="1">INTERCEPT(INDIRECT($D$9):G992,INDIRECT($C$9):F992)</f>
        <v>-2.6727877389541026E-3</v>
      </c>
      <c r="D11" s="5"/>
      <c r="E11" s="11"/>
    </row>
    <row r="12" spans="1:6">
      <c r="A12" s="11" t="s">
        <v>19</v>
      </c>
      <c r="B12" s="11"/>
      <c r="C12" s="13">
        <f ca="1">SLOPE(INDIRECT($D$9):G992,INDIRECT($C$9):F992)</f>
        <v>-7.1599996443436271E-8</v>
      </c>
      <c r="D12" s="5"/>
      <c r="E12" s="11"/>
    </row>
    <row r="13" spans="1:6">
      <c r="A13" s="11" t="s">
        <v>21</v>
      </c>
      <c r="B13" s="11"/>
      <c r="C13" s="5" t="s">
        <v>16</v>
      </c>
      <c r="D13" s="5"/>
      <c r="E13" s="11"/>
    </row>
    <row r="14" spans="1:6">
      <c r="A14" s="11"/>
      <c r="B14" s="11"/>
      <c r="C14" s="11"/>
      <c r="D14" s="11"/>
      <c r="E14" s="11"/>
    </row>
    <row r="15" spans="1:6">
      <c r="A15" s="16" t="s">
        <v>20</v>
      </c>
      <c r="B15" s="11"/>
      <c r="C15" s="17">
        <f ca="1">(C7+C11)+(C8+C12)*INT(MAX(F21:F3533))</f>
        <v>59492.950268483277</v>
      </c>
      <c r="E15" s="18" t="s">
        <v>130</v>
      </c>
      <c r="F15" s="44">
        <v>1</v>
      </c>
    </row>
    <row r="16" spans="1:6">
      <c r="A16" s="20" t="s">
        <v>6</v>
      </c>
      <c r="B16" s="11"/>
      <c r="C16" s="21">
        <f ca="1">+C8+C12</f>
        <v>0.54290892840000349</v>
      </c>
      <c r="E16" s="18" t="s">
        <v>30</v>
      </c>
      <c r="F16" s="19">
        <f ca="1">NOW()+15018.5+$C$5/24</f>
        <v>60320.777622453701</v>
      </c>
    </row>
    <row r="17" spans="1:18" ht="13.5" thickBot="1">
      <c r="A17" s="18" t="s">
        <v>32</v>
      </c>
      <c r="B17" s="11"/>
      <c r="C17" s="11">
        <f>COUNT(C21:C2191)</f>
        <v>29</v>
      </c>
      <c r="E17" s="18" t="s">
        <v>131</v>
      </c>
      <c r="F17" s="19">
        <f ca="1">ROUND(2*(F16-$C$7)/$C$8,0)/2+F15</f>
        <v>62863</v>
      </c>
    </row>
    <row r="18" spans="1:18" ht="14.25" thickTop="1" thickBot="1">
      <c r="A18" s="20" t="s">
        <v>7</v>
      </c>
      <c r="B18" s="11"/>
      <c r="C18" s="23">
        <f ca="1">+C15</f>
        <v>59492.950268483277</v>
      </c>
      <c r="D18" s="24">
        <f ca="1">+C16</f>
        <v>0.54290892840000349</v>
      </c>
      <c r="E18" s="18" t="s">
        <v>31</v>
      </c>
      <c r="F18" s="15">
        <f ca="1">ROUND(2*(F16-$C$15)/$C$16,0)/2+F15</f>
        <v>1526</v>
      </c>
      <c r="R18">
        <f>SQRT(SUM(R22:R26)/(COUNT(R22:R26)-1))</f>
        <v>0</v>
      </c>
    </row>
    <row r="19" spans="1:18" ht="13.5" thickTop="1">
      <c r="E19" s="18" t="s">
        <v>33</v>
      </c>
      <c r="F19" s="22">
        <f ca="1">+$C$15+$C$16*F18-15018.5-$C$5/24</f>
        <v>45303.325126555021</v>
      </c>
    </row>
    <row r="20" spans="1:18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49</v>
      </c>
      <c r="I20" s="9" t="s">
        <v>52</v>
      </c>
      <c r="J20" s="9" t="s">
        <v>46</v>
      </c>
      <c r="K20" s="9" t="s">
        <v>44</v>
      </c>
      <c r="L20" s="9" t="s">
        <v>127</v>
      </c>
      <c r="M20" s="9" t="s">
        <v>128</v>
      </c>
      <c r="N20" s="9" t="s">
        <v>129</v>
      </c>
      <c r="O20" s="9" t="s">
        <v>25</v>
      </c>
      <c r="P20" s="8" t="s">
        <v>24</v>
      </c>
      <c r="Q20" s="6" t="s">
        <v>17</v>
      </c>
      <c r="R20" s="29" t="s">
        <v>41</v>
      </c>
    </row>
    <row r="21" spans="1:18">
      <c r="A21" s="15" t="s">
        <v>58</v>
      </c>
      <c r="B21" s="5" t="s">
        <v>38</v>
      </c>
      <c r="C21" s="28">
        <v>26192.539000000001</v>
      </c>
      <c r="D21" s="28" t="s">
        <v>52</v>
      </c>
      <c r="E21">
        <f t="shared" ref="E21:E45" si="0">+(C21-C$7)/C$8</f>
        <v>-1.657736379060867E-2</v>
      </c>
      <c r="F21">
        <f t="shared" ref="F21:F48" si="1">ROUND(2*E21,0)/2</f>
        <v>0</v>
      </c>
      <c r="G21">
        <f t="shared" ref="G21:G45" si="2">+C21-(C$7+F21*C$8)</f>
        <v>-8.9999999981955625E-3</v>
      </c>
      <c r="I21">
        <f>+G21</f>
        <v>-8.9999999981955625E-3</v>
      </c>
      <c r="O21">
        <f t="shared" ref="O21:O45" ca="1" si="3">+C$11+C$12*F21</f>
        <v>-2.6727877389541026E-3</v>
      </c>
      <c r="Q21" s="2">
        <f t="shared" ref="Q21:Q45" si="4">+C21-15018.5</f>
        <v>11174.039000000001</v>
      </c>
      <c r="R21" s="30"/>
    </row>
    <row r="22" spans="1:18">
      <c r="A22" t="s">
        <v>14</v>
      </c>
      <c r="C22" s="28">
        <v>26192.547999999999</v>
      </c>
      <c r="D22" s="28" t="s">
        <v>16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-2.6727877389541026E-3</v>
      </c>
      <c r="Q22" s="2">
        <f t="shared" si="4"/>
        <v>11174.047999999999</v>
      </c>
      <c r="R22" s="30"/>
    </row>
    <row r="23" spans="1:18">
      <c r="A23" s="15" t="s">
        <v>58</v>
      </c>
      <c r="B23" s="5" t="s">
        <v>38</v>
      </c>
      <c r="C23" s="28">
        <v>26265.312999999998</v>
      </c>
      <c r="D23" s="28" t="s">
        <v>52</v>
      </c>
      <c r="E23">
        <f t="shared" si="0"/>
        <v>134.02798627394171</v>
      </c>
      <c r="F23">
        <f t="shared" si="1"/>
        <v>134</v>
      </c>
      <c r="G23">
        <f t="shared" si="2"/>
        <v>1.5193999999610242E-2</v>
      </c>
      <c r="I23">
        <f t="shared" ref="I23:I30" si="5">+G23</f>
        <v>1.5193999999610242E-2</v>
      </c>
      <c r="O23">
        <f t="shared" ca="1" si="3"/>
        <v>-2.6823821384775229E-3</v>
      </c>
      <c r="Q23" s="2">
        <f t="shared" si="4"/>
        <v>11246.812999999998</v>
      </c>
      <c r="R23" s="30"/>
    </row>
    <row r="24" spans="1:18">
      <c r="A24" s="15" t="s">
        <v>58</v>
      </c>
      <c r="B24" s="5" t="s">
        <v>38</v>
      </c>
      <c r="C24" s="28">
        <v>26651.298999999999</v>
      </c>
      <c r="D24" s="28" t="s">
        <v>52</v>
      </c>
      <c r="E24">
        <f t="shared" si="0"/>
        <v>844.98691309224978</v>
      </c>
      <c r="F24">
        <f t="shared" si="1"/>
        <v>845</v>
      </c>
      <c r="G24">
        <f t="shared" si="2"/>
        <v>-7.105000000592554E-3</v>
      </c>
      <c r="I24">
        <f t="shared" si="5"/>
        <v>-7.105000000592554E-3</v>
      </c>
      <c r="O24">
        <f t="shared" ca="1" si="3"/>
        <v>-2.7332897359488061E-3</v>
      </c>
      <c r="Q24" s="2">
        <f t="shared" si="4"/>
        <v>11632.798999999999</v>
      </c>
      <c r="R24" s="30"/>
    </row>
    <row r="25" spans="1:18">
      <c r="A25" s="15" t="s">
        <v>58</v>
      </c>
      <c r="B25" s="5" t="s">
        <v>38</v>
      </c>
      <c r="C25" s="28">
        <v>26956.435000000001</v>
      </c>
      <c r="D25" s="28" t="s">
        <v>52</v>
      </c>
      <c r="E25">
        <f t="shared" si="0"/>
        <v>1407.0258551617351</v>
      </c>
      <c r="F25">
        <f t="shared" si="1"/>
        <v>1407</v>
      </c>
      <c r="G25">
        <f t="shared" si="2"/>
        <v>1.4037000000826083E-2</v>
      </c>
      <c r="I25">
        <f t="shared" si="5"/>
        <v>1.4037000000826083E-2</v>
      </c>
      <c r="O25">
        <f t="shared" ca="1" si="3"/>
        <v>-2.7735289339500175E-3</v>
      </c>
      <c r="Q25" s="2">
        <f t="shared" si="4"/>
        <v>11937.935000000001</v>
      </c>
      <c r="R25" s="30"/>
    </row>
    <row r="26" spans="1:18">
      <c r="A26" s="15" t="s">
        <v>58</v>
      </c>
      <c r="B26" s="5" t="s">
        <v>38</v>
      </c>
      <c r="C26" s="28">
        <v>27342.416000000001</v>
      </c>
      <c r="D26" s="28" t="s">
        <v>52</v>
      </c>
      <c r="E26">
        <f t="shared" si="0"/>
        <v>2117.9755723334893</v>
      </c>
      <c r="F26">
        <f t="shared" si="1"/>
        <v>2118</v>
      </c>
      <c r="G26">
        <f t="shared" si="2"/>
        <v>-1.3261999996757368E-2</v>
      </c>
      <c r="I26">
        <f t="shared" si="5"/>
        <v>-1.3261999996757368E-2</v>
      </c>
      <c r="O26">
        <f t="shared" ca="1" si="3"/>
        <v>-2.8244365314213007E-3</v>
      </c>
      <c r="Q26" s="2">
        <f t="shared" si="4"/>
        <v>12323.916000000001</v>
      </c>
      <c r="R26" s="30"/>
    </row>
    <row r="27" spans="1:18">
      <c r="A27" s="15" t="s">
        <v>58</v>
      </c>
      <c r="B27" s="5" t="s">
        <v>38</v>
      </c>
      <c r="C27" s="28">
        <v>27385.308000000001</v>
      </c>
      <c r="D27" s="28" t="s">
        <v>52</v>
      </c>
      <c r="E27">
        <f t="shared" si="0"/>
        <v>2196.9796043167494</v>
      </c>
      <c r="F27">
        <f t="shared" si="1"/>
        <v>2197</v>
      </c>
      <c r="G27">
        <f t="shared" si="2"/>
        <v>-1.1072999997850275E-2</v>
      </c>
      <c r="I27">
        <f t="shared" si="5"/>
        <v>-1.1072999997850275E-2</v>
      </c>
      <c r="O27">
        <f t="shared" ca="1" si="3"/>
        <v>-2.8300929311403321E-3</v>
      </c>
      <c r="Q27" s="2">
        <f t="shared" si="4"/>
        <v>12366.808000000001</v>
      </c>
      <c r="R27" s="30"/>
    </row>
    <row r="28" spans="1:18">
      <c r="A28" s="15" t="s">
        <v>58</v>
      </c>
      <c r="B28" s="5" t="s">
        <v>38</v>
      </c>
      <c r="C28" s="28">
        <v>27397.251</v>
      </c>
      <c r="D28" s="28" t="s">
        <v>52</v>
      </c>
      <c r="E28">
        <f t="shared" si="0"/>
        <v>2218.9777660712962</v>
      </c>
      <c r="F28">
        <f t="shared" si="1"/>
        <v>2219</v>
      </c>
      <c r="G28">
        <f t="shared" si="2"/>
        <v>-1.207099999737693E-2</v>
      </c>
      <c r="I28">
        <f t="shared" si="5"/>
        <v>-1.207099999737693E-2</v>
      </c>
      <c r="O28">
        <f t="shared" ca="1" si="3"/>
        <v>-2.8316681310620877E-3</v>
      </c>
      <c r="Q28" s="2">
        <f t="shared" si="4"/>
        <v>12378.751</v>
      </c>
    </row>
    <row r="29" spans="1:18">
      <c r="A29" s="15" t="s">
        <v>58</v>
      </c>
      <c r="B29" s="5" t="s">
        <v>38</v>
      </c>
      <c r="C29" s="28">
        <v>27398.365000000002</v>
      </c>
      <c r="D29" s="28" t="s">
        <v>52</v>
      </c>
      <c r="E29">
        <f t="shared" si="0"/>
        <v>2221.0296753231255</v>
      </c>
      <c r="F29">
        <f t="shared" si="1"/>
        <v>2221</v>
      </c>
      <c r="G29">
        <f t="shared" si="2"/>
        <v>1.611100000445731E-2</v>
      </c>
      <c r="I29">
        <f t="shared" si="5"/>
        <v>1.611100000445731E-2</v>
      </c>
      <c r="O29">
        <f t="shared" ca="1" si="3"/>
        <v>-2.8318113310549747E-3</v>
      </c>
      <c r="Q29" s="2">
        <f t="shared" si="4"/>
        <v>12379.865000000002</v>
      </c>
    </row>
    <row r="30" spans="1:18">
      <c r="A30" s="15" t="s">
        <v>58</v>
      </c>
      <c r="B30" s="5" t="s">
        <v>38</v>
      </c>
      <c r="C30" s="28">
        <v>27416.257000000001</v>
      </c>
      <c r="D30" s="28" t="s">
        <v>52</v>
      </c>
      <c r="E30">
        <f t="shared" si="0"/>
        <v>2253.9854745454627</v>
      </c>
      <c r="F30">
        <f t="shared" si="1"/>
        <v>2254</v>
      </c>
      <c r="G30">
        <f t="shared" si="2"/>
        <v>-7.8859999957785476E-3</v>
      </c>
      <c r="I30">
        <f t="shared" si="5"/>
        <v>-7.8859999957785476E-3</v>
      </c>
      <c r="O30">
        <f t="shared" ca="1" si="3"/>
        <v>-2.834174130937608E-3</v>
      </c>
      <c r="Q30" s="2">
        <f t="shared" si="4"/>
        <v>12397.757000000001</v>
      </c>
    </row>
    <row r="31" spans="1:18">
      <c r="A31" s="15" t="s">
        <v>58</v>
      </c>
      <c r="B31" s="5" t="s">
        <v>38</v>
      </c>
      <c r="C31" s="28">
        <v>27417.353999999999</v>
      </c>
      <c r="D31" s="28" t="s">
        <v>52</v>
      </c>
      <c r="E31">
        <f t="shared" si="0"/>
        <v>2256.006070999008</v>
      </c>
      <c r="F31">
        <f t="shared" si="1"/>
        <v>2256</v>
      </c>
      <c r="G31">
        <f t="shared" si="2"/>
        <v>3.2959999989543576E-3</v>
      </c>
      <c r="I31">
        <f>+G31</f>
        <v>3.2959999989543576E-3</v>
      </c>
      <c r="O31">
        <f t="shared" ca="1" si="3"/>
        <v>-2.8343173309304946E-3</v>
      </c>
      <c r="Q31" s="2">
        <f t="shared" si="4"/>
        <v>12398.853999999999</v>
      </c>
    </row>
    <row r="32" spans="1:18">
      <c r="A32" s="15" t="s">
        <v>58</v>
      </c>
      <c r="B32" s="5" t="s">
        <v>38</v>
      </c>
      <c r="C32" s="28">
        <v>27628.519</v>
      </c>
      <c r="D32" s="28" t="s">
        <v>52</v>
      </c>
      <c r="E32">
        <f t="shared" si="0"/>
        <v>2644.9570738374227</v>
      </c>
      <c r="F32">
        <f t="shared" si="1"/>
        <v>2645</v>
      </c>
      <c r="G32">
        <f t="shared" si="2"/>
        <v>-2.3304999998799758E-2</v>
      </c>
      <c r="I32">
        <f>+G32</f>
        <v>-2.3304999998799758E-2</v>
      </c>
      <c r="O32">
        <f t="shared" ca="1" si="3"/>
        <v>-2.8621697295469917E-3</v>
      </c>
      <c r="Q32" s="2">
        <f t="shared" si="4"/>
        <v>12610.019</v>
      </c>
    </row>
    <row r="33" spans="1:18">
      <c r="A33" s="15" t="s">
        <v>58</v>
      </c>
      <c r="B33" s="5" t="s">
        <v>38</v>
      </c>
      <c r="C33" s="28">
        <v>27689.332999999999</v>
      </c>
      <c r="D33" s="28" t="s">
        <v>52</v>
      </c>
      <c r="E33">
        <f t="shared" si="0"/>
        <v>2756.9721629223313</v>
      </c>
      <c r="F33">
        <f t="shared" si="1"/>
        <v>2757</v>
      </c>
      <c r="G33">
        <f t="shared" si="2"/>
        <v>-1.5113000001292676E-2</v>
      </c>
      <c r="I33">
        <f>+G33</f>
        <v>-1.5113000001292676E-2</v>
      </c>
      <c r="O33">
        <f t="shared" ca="1" si="3"/>
        <v>-2.8701889291486565E-3</v>
      </c>
      <c r="Q33" s="2">
        <f t="shared" si="4"/>
        <v>12670.832999999999</v>
      </c>
    </row>
    <row r="34" spans="1:18">
      <c r="A34" s="15" t="s">
        <v>58</v>
      </c>
      <c r="B34" s="5" t="s">
        <v>38</v>
      </c>
      <c r="C34" s="28">
        <v>27745.277999999998</v>
      </c>
      <c r="D34" s="28" t="s">
        <v>52</v>
      </c>
      <c r="E34">
        <f t="shared" si="0"/>
        <v>2860.0188981947244</v>
      </c>
      <c r="F34">
        <f t="shared" si="1"/>
        <v>2860</v>
      </c>
      <c r="G34">
        <f t="shared" si="2"/>
        <v>1.0259999999107094E-2</v>
      </c>
      <c r="I34">
        <f>+G34</f>
        <v>1.0259999999107094E-2</v>
      </c>
      <c r="O34">
        <f t="shared" ca="1" si="3"/>
        <v>-2.8775637287823301E-3</v>
      </c>
      <c r="Q34" s="2">
        <f t="shared" si="4"/>
        <v>12726.777999999998</v>
      </c>
    </row>
    <row r="35" spans="1:18">
      <c r="A35" s="15" t="s">
        <v>58</v>
      </c>
      <c r="B35" s="5" t="s">
        <v>38</v>
      </c>
      <c r="C35" s="28">
        <v>27746.345000000001</v>
      </c>
      <c r="D35" s="28" t="s">
        <v>52</v>
      </c>
      <c r="E35">
        <f t="shared" si="0"/>
        <v>2861.9842367689657</v>
      </c>
      <c r="F35">
        <f t="shared" si="1"/>
        <v>2862</v>
      </c>
      <c r="G35">
        <f t="shared" si="2"/>
        <v>-8.5579999977198895E-3</v>
      </c>
      <c r="I35">
        <f>+G35</f>
        <v>-8.5579999977198895E-3</v>
      </c>
      <c r="O35">
        <f t="shared" ca="1" si="3"/>
        <v>-2.8777069287752172E-3</v>
      </c>
      <c r="Q35" s="2">
        <f t="shared" si="4"/>
        <v>12727.845000000001</v>
      </c>
    </row>
    <row r="36" spans="1:18">
      <c r="A36" t="s">
        <v>27</v>
      </c>
      <c r="C36" s="28">
        <v>52971.5268</v>
      </c>
      <c r="D36" s="28">
        <v>2.9999999999999997E-4</v>
      </c>
      <c r="E36">
        <f t="shared" si="0"/>
        <v>49324.985955289012</v>
      </c>
      <c r="F36">
        <f t="shared" si="1"/>
        <v>49325</v>
      </c>
      <c r="G36">
        <f t="shared" si="2"/>
        <v>-7.6249999983701855E-3</v>
      </c>
      <c r="K36">
        <f t="shared" ref="K36:K45" si="6">+G36</f>
        <v>-7.6249999983701855E-3</v>
      </c>
      <c r="O36">
        <f t="shared" ca="1" si="3"/>
        <v>-6.2044575635265969E-3</v>
      </c>
      <c r="Q36" s="2">
        <f t="shared" si="4"/>
        <v>37953.0268</v>
      </c>
      <c r="R36" s="30"/>
    </row>
    <row r="37" spans="1:18">
      <c r="A37" s="15" t="s">
        <v>107</v>
      </c>
      <c r="B37" s="5" t="s">
        <v>38</v>
      </c>
      <c r="C37" s="28">
        <v>53973.193800000001</v>
      </c>
      <c r="D37" s="28" t="s">
        <v>52</v>
      </c>
      <c r="E37">
        <f t="shared" si="0"/>
        <v>51169.985761886433</v>
      </c>
      <c r="F37">
        <f t="shared" si="1"/>
        <v>51170</v>
      </c>
      <c r="G37">
        <f t="shared" si="2"/>
        <v>-7.7299999975366518E-3</v>
      </c>
      <c r="K37">
        <f t="shared" si="6"/>
        <v>-7.7299999975366518E-3</v>
      </c>
      <c r="O37">
        <f t="shared" ca="1" si="3"/>
        <v>-6.3365595569647368E-3</v>
      </c>
      <c r="Q37" s="2">
        <f t="shared" si="4"/>
        <v>38954.693800000001</v>
      </c>
    </row>
    <row r="38" spans="1:18">
      <c r="A38" s="49" t="s">
        <v>37</v>
      </c>
      <c r="B38" s="45" t="s">
        <v>38</v>
      </c>
      <c r="C38" s="27">
        <v>53974.814200000001</v>
      </c>
      <c r="D38" s="27">
        <v>2.0999999999999999E-3</v>
      </c>
      <c r="E38">
        <f t="shared" si="0"/>
        <v>51172.970424141065</v>
      </c>
      <c r="F38">
        <f t="shared" si="1"/>
        <v>51173</v>
      </c>
      <c r="G38">
        <f t="shared" si="2"/>
        <v>-1.6056999993452337E-2</v>
      </c>
      <c r="K38">
        <f t="shared" si="6"/>
        <v>-1.6056999993452337E-2</v>
      </c>
      <c r="O38">
        <f t="shared" ca="1" si="3"/>
        <v>-6.3367743569540669E-3</v>
      </c>
      <c r="Q38" s="2">
        <f t="shared" si="4"/>
        <v>38956.314200000001</v>
      </c>
      <c r="R38" s="30"/>
    </row>
    <row r="39" spans="1:18">
      <c r="A39" s="49" t="s">
        <v>37</v>
      </c>
      <c r="B39" s="45" t="s">
        <v>39</v>
      </c>
      <c r="C39" s="27">
        <v>53976.7327</v>
      </c>
      <c r="D39" s="27">
        <v>1.5E-3</v>
      </c>
      <c r="E39">
        <f t="shared" si="0"/>
        <v>51176.50416552314</v>
      </c>
      <c r="F39">
        <f t="shared" si="1"/>
        <v>51176.5</v>
      </c>
      <c r="G39">
        <f t="shared" si="2"/>
        <v>2.2614999979850836E-3</v>
      </c>
      <c r="K39">
        <f t="shared" si="6"/>
        <v>2.2614999979850836E-3</v>
      </c>
      <c r="O39">
        <f t="shared" ca="1" si="3"/>
        <v>-6.337024956941619E-3</v>
      </c>
      <c r="Q39" s="2">
        <f t="shared" si="4"/>
        <v>38958.2327</v>
      </c>
      <c r="R39" s="30"/>
    </row>
    <row r="40" spans="1:18">
      <c r="A40" s="49" t="s">
        <v>37</v>
      </c>
      <c r="B40" s="45" t="s">
        <v>38</v>
      </c>
      <c r="C40" s="27">
        <v>53980.792300000001</v>
      </c>
      <c r="D40" s="27">
        <v>1.6000000000000001E-3</v>
      </c>
      <c r="E40">
        <f t="shared" si="0"/>
        <v>51183.981661751794</v>
      </c>
      <c r="F40">
        <f t="shared" si="1"/>
        <v>51184</v>
      </c>
      <c r="G40">
        <f t="shared" si="2"/>
        <v>-9.9559999944176525E-3</v>
      </c>
      <c r="K40">
        <f t="shared" si="6"/>
        <v>-9.9559999944176525E-3</v>
      </c>
      <c r="O40">
        <f t="shared" ca="1" si="3"/>
        <v>-6.3375619569149451E-3</v>
      </c>
      <c r="Q40" s="2">
        <f t="shared" si="4"/>
        <v>38962.292300000001</v>
      </c>
      <c r="R40" s="30"/>
    </row>
    <row r="41" spans="1:18">
      <c r="A41" s="49" t="s">
        <v>37</v>
      </c>
      <c r="B41" s="45" t="s">
        <v>39</v>
      </c>
      <c r="C41" s="27">
        <v>54032.647499999999</v>
      </c>
      <c r="D41" s="27">
        <v>1.4E-3</v>
      </c>
      <c r="E41">
        <f t="shared" si="0"/>
        <v>51279.49527453036</v>
      </c>
      <c r="F41">
        <f t="shared" si="1"/>
        <v>51279.5</v>
      </c>
      <c r="G41">
        <f t="shared" si="2"/>
        <v>-2.5654999990365468E-3</v>
      </c>
      <c r="K41">
        <f t="shared" si="6"/>
        <v>-2.5654999990365468E-3</v>
      </c>
      <c r="O41">
        <f t="shared" ca="1" si="3"/>
        <v>-6.3443997565752926E-3</v>
      </c>
      <c r="Q41" s="2">
        <f t="shared" si="4"/>
        <v>39014.147499999999</v>
      </c>
      <c r="R41" s="30"/>
    </row>
    <row r="42" spans="1:18">
      <c r="A42" s="46" t="s">
        <v>40</v>
      </c>
      <c r="B42" s="47" t="s">
        <v>38</v>
      </c>
      <c r="C42" s="48">
        <v>56898.385029999998</v>
      </c>
      <c r="D42" s="46">
        <v>2.9999999999999997E-4</v>
      </c>
      <c r="E42">
        <f t="shared" si="0"/>
        <v>56557.981227056465</v>
      </c>
      <c r="F42">
        <f t="shared" si="1"/>
        <v>56558</v>
      </c>
      <c r="G42">
        <f t="shared" si="2"/>
        <v>-1.0192000001552515E-2</v>
      </c>
      <c r="K42">
        <f t="shared" si="6"/>
        <v>-1.0192000001552515E-2</v>
      </c>
      <c r="O42">
        <f t="shared" ca="1" si="3"/>
        <v>-6.7223403378019707E-3</v>
      </c>
      <c r="Q42" s="2">
        <f t="shared" si="4"/>
        <v>41879.885029999998</v>
      </c>
      <c r="R42" s="30"/>
    </row>
    <row r="43" spans="1:18">
      <c r="A43" s="50" t="s">
        <v>132</v>
      </c>
      <c r="B43" s="51" t="s">
        <v>38</v>
      </c>
      <c r="C43" s="52">
        <v>57278.967399999965</v>
      </c>
      <c r="D43" s="52"/>
      <c r="E43">
        <f t="shared" si="0"/>
        <v>57258.987049394957</v>
      </c>
      <c r="F43">
        <f t="shared" si="1"/>
        <v>57259</v>
      </c>
      <c r="G43">
        <f t="shared" si="2"/>
        <v>-7.0310000301105902E-3</v>
      </c>
      <c r="K43">
        <f t="shared" si="6"/>
        <v>-7.0310000301105902E-3</v>
      </c>
      <c r="O43">
        <f t="shared" ca="1" si="3"/>
        <v>-6.77253193530882E-3</v>
      </c>
      <c r="Q43" s="2">
        <f t="shared" si="4"/>
        <v>42260.467399999965</v>
      </c>
    </row>
    <row r="44" spans="1:18">
      <c r="A44" s="50" t="s">
        <v>132</v>
      </c>
      <c r="B44" s="51" t="s">
        <v>38</v>
      </c>
      <c r="C44" s="52">
        <v>57278.967399999965</v>
      </c>
      <c r="D44" s="52" t="s">
        <v>133</v>
      </c>
      <c r="E44">
        <f t="shared" si="0"/>
        <v>57258.987049394957</v>
      </c>
      <c r="F44">
        <f t="shared" si="1"/>
        <v>57259</v>
      </c>
      <c r="G44">
        <f t="shared" si="2"/>
        <v>-7.0310000301105902E-3</v>
      </c>
      <c r="K44">
        <f t="shared" si="6"/>
        <v>-7.0310000301105902E-3</v>
      </c>
      <c r="O44">
        <f t="shared" ca="1" si="3"/>
        <v>-6.77253193530882E-3</v>
      </c>
      <c r="Q44" s="2">
        <f t="shared" si="4"/>
        <v>42260.467399999965</v>
      </c>
    </row>
    <row r="45" spans="1:18">
      <c r="A45" s="52" t="s">
        <v>1</v>
      </c>
      <c r="B45" s="51" t="s">
        <v>38</v>
      </c>
      <c r="C45" s="52">
        <v>57278.967400000001</v>
      </c>
      <c r="D45" s="52" t="s">
        <v>133</v>
      </c>
      <c r="E45">
        <f t="shared" si="0"/>
        <v>57258.987049395022</v>
      </c>
      <c r="F45">
        <f t="shared" si="1"/>
        <v>57259</v>
      </c>
      <c r="G45">
        <f t="shared" si="2"/>
        <v>-7.0309999937308021E-3</v>
      </c>
      <c r="K45">
        <f t="shared" si="6"/>
        <v>-7.0309999937308021E-3</v>
      </c>
      <c r="O45">
        <f t="shared" ca="1" si="3"/>
        <v>-6.77253193530882E-3</v>
      </c>
      <c r="Q45" s="2">
        <f t="shared" si="4"/>
        <v>42260.467400000001</v>
      </c>
    </row>
    <row r="46" spans="1:18">
      <c r="A46" s="54" t="s">
        <v>0</v>
      </c>
      <c r="B46" s="55" t="s">
        <v>38</v>
      </c>
      <c r="C46" s="54">
        <v>58356.106000000145</v>
      </c>
      <c r="D46" s="53" t="s">
        <v>16</v>
      </c>
      <c r="E46">
        <f>+(C46-C$7)/C$8</f>
        <v>59243.000208138285</v>
      </c>
      <c r="F46">
        <f t="shared" si="1"/>
        <v>59243</v>
      </c>
      <c r="G46">
        <f>+C46-(C$7+F46*C$8)</f>
        <v>1.1300014739390463E-4</v>
      </c>
      <c r="K46">
        <f>+G46</f>
        <v>1.1300014739390463E-4</v>
      </c>
      <c r="O46">
        <f ca="1">+C$11+C$12*F46</f>
        <v>-6.9145863282525973E-3</v>
      </c>
      <c r="Q46" s="2">
        <f>+C46-15018.5</f>
        <v>43337.606000000145</v>
      </c>
    </row>
    <row r="47" spans="1:18">
      <c r="A47" s="56" t="s">
        <v>134</v>
      </c>
      <c r="B47" s="57" t="s">
        <v>38</v>
      </c>
      <c r="C47" s="58">
        <v>58741.017</v>
      </c>
      <c r="D47" s="58" t="s">
        <v>133</v>
      </c>
      <c r="E47">
        <f>+(C47-C$7)/C$8</f>
        <v>59951.979060947604</v>
      </c>
      <c r="F47">
        <f t="shared" si="1"/>
        <v>59952</v>
      </c>
      <c r="G47">
        <f>+C47-(C$7+F47*C$8)</f>
        <v>-1.1367999999492895E-2</v>
      </c>
      <c r="K47">
        <f>+G47</f>
        <v>-1.1367999999492895E-2</v>
      </c>
      <c r="O47">
        <f ca="1">+C$11+C$12*F47</f>
        <v>-6.9653507257309948E-3</v>
      </c>
      <c r="Q47" s="2">
        <f>+C47-15018.5</f>
        <v>43722.517</v>
      </c>
    </row>
    <row r="48" spans="1:18">
      <c r="A48" s="56" t="s">
        <v>134</v>
      </c>
      <c r="B48" s="57" t="s">
        <v>38</v>
      </c>
      <c r="C48" s="58">
        <v>58758.937899999997</v>
      </c>
      <c r="D48" s="58" t="s">
        <v>133</v>
      </c>
      <c r="E48">
        <f>+(C48-C$7)/C$8</f>
        <v>59984.988091927007</v>
      </c>
      <c r="F48">
        <f t="shared" si="1"/>
        <v>59985</v>
      </c>
      <c r="G48">
        <f>+C48-(C$7+F48*C$8)</f>
        <v>-6.4649999985704198E-3</v>
      </c>
      <c r="K48">
        <f>+G48</f>
        <v>-6.4649999985704198E-3</v>
      </c>
      <c r="O48">
        <f ca="1">+C$11+C$12*F48</f>
        <v>-6.9677135256136277E-3</v>
      </c>
      <c r="Q48" s="2">
        <f>+C48-15018.5</f>
        <v>43740.437899999997</v>
      </c>
    </row>
    <row r="49" spans="1:17">
      <c r="A49" s="59" t="s">
        <v>135</v>
      </c>
      <c r="B49" s="60" t="s">
        <v>38</v>
      </c>
      <c r="C49" s="61">
        <v>59492.955300000031</v>
      </c>
      <c r="D49" s="59" t="s">
        <v>133</v>
      </c>
      <c r="E49">
        <f>+(C49-C$7)/C$8</f>
        <v>61336.996255357779</v>
      </c>
      <c r="F49">
        <f t="shared" ref="F49" si="7">ROUND(2*E49,0)/2</f>
        <v>61337</v>
      </c>
      <c r="G49">
        <f>+C49-(C$7+F49*C$8)</f>
        <v>-2.0329999679233879E-3</v>
      </c>
      <c r="K49">
        <f>+G49</f>
        <v>-2.0329999679233879E-3</v>
      </c>
      <c r="O49">
        <f ca="1">+C$11+C$12*F49</f>
        <v>-7.0645167208051533E-3</v>
      </c>
      <c r="Q49" s="2">
        <f>+C49-15018.5</f>
        <v>44474.455300000031</v>
      </c>
    </row>
    <row r="50" spans="1:17">
      <c r="D50" s="5"/>
    </row>
    <row r="51" spans="1:17">
      <c r="D51" s="5"/>
    </row>
    <row r="52" spans="1:17">
      <c r="D52" s="5"/>
    </row>
  </sheetData>
  <protectedRanges>
    <protectedRange sqref="A47:D48" name="Range1"/>
  </protectedRanges>
  <phoneticPr fontId="8" type="noConversion"/>
  <hyperlinks>
    <hyperlink ref="H3339" r:id="rId1" display="http://vsolj.cetus-net.org/bulletin.html" xr:uid="{00000000-0004-0000-0000-000000000000}"/>
    <hyperlink ref="H64991" r:id="rId2" display="http://vsolj.cetus-net.org/bulletin.html" xr:uid="{00000000-0004-0000-0000-000001000000}"/>
    <hyperlink ref="H64984" r:id="rId3" display="https://www.aavso.org/ejaavso" xr:uid="{00000000-0004-0000-0000-000002000000}"/>
    <hyperlink ref="I64991" r:id="rId4" display="http://vsolj.cetus-net.org/bulletin.html" xr:uid="{00000000-0004-0000-0000-000003000000}"/>
    <hyperlink ref="AQ58642" r:id="rId5" display="http://cdsbib.u-strasbg.fr/cgi-bin/cdsbib?1990RMxAA..21..381G" xr:uid="{00000000-0004-0000-0000-000004000000}"/>
    <hyperlink ref="H64988" r:id="rId6" display="https://www.aavso.org/ejaavso" xr:uid="{00000000-0004-0000-0000-000005000000}"/>
    <hyperlink ref="AP6006" r:id="rId7" display="http://cdsbib.u-strasbg.fr/cgi-bin/cdsbib?1990RMxAA..21..381G" xr:uid="{00000000-0004-0000-0000-000006000000}"/>
    <hyperlink ref="AP6009" r:id="rId8" display="http://cdsbib.u-strasbg.fr/cgi-bin/cdsbib?1990RMxAA..21..381G" xr:uid="{00000000-0004-0000-0000-000007000000}"/>
    <hyperlink ref="AP6007" r:id="rId9" display="http://cdsbib.u-strasbg.fr/cgi-bin/cdsbib?1990RMxAA..21..381G" xr:uid="{00000000-0004-0000-0000-000008000000}"/>
    <hyperlink ref="AP5991" r:id="rId10" display="http://cdsbib.u-strasbg.fr/cgi-bin/cdsbib?1990RMxAA..21..381G" xr:uid="{00000000-0004-0000-0000-000009000000}"/>
    <hyperlink ref="AQ6220" r:id="rId11" display="http://cdsbib.u-strasbg.fr/cgi-bin/cdsbib?1990RMxAA..21..381G" xr:uid="{00000000-0004-0000-0000-00000A000000}"/>
    <hyperlink ref="AQ6224" r:id="rId12" display="http://cdsbib.u-strasbg.fr/cgi-bin/cdsbib?1990RMxAA..21..381G" xr:uid="{00000000-0004-0000-0000-00000B000000}"/>
    <hyperlink ref="AQ368" r:id="rId13" display="http://cdsbib.u-strasbg.fr/cgi-bin/cdsbib?1990RMxAA..21..381G" xr:uid="{00000000-0004-0000-0000-00000C000000}"/>
    <hyperlink ref="I3112" r:id="rId14" display="http://vsolj.cetus-net.org/bulletin.html" xr:uid="{00000000-0004-0000-0000-00000D000000}"/>
    <hyperlink ref="H3112" r:id="rId15" display="http://vsolj.cetus-net.org/bulletin.html" xr:uid="{00000000-0004-0000-0000-00000E000000}"/>
    <hyperlink ref="AQ1029" r:id="rId16" display="http://cdsbib.u-strasbg.fr/cgi-bin/cdsbib?1990RMxAA..21..381G" xr:uid="{00000000-0004-0000-0000-00000F000000}"/>
    <hyperlink ref="AQ1028" r:id="rId17" display="http://cdsbib.u-strasbg.fr/cgi-bin/cdsbib?1990RMxAA..21..381G" xr:uid="{00000000-0004-0000-0000-000010000000}"/>
    <hyperlink ref="AP4282" r:id="rId18" display="http://cdsbib.u-strasbg.fr/cgi-bin/cdsbib?1990RMxAA..21..381G" xr:uid="{00000000-0004-0000-0000-000011000000}"/>
    <hyperlink ref="AP4300" r:id="rId19" display="http://cdsbib.u-strasbg.fr/cgi-bin/cdsbib?1990RMxAA..21..381G" xr:uid="{00000000-0004-0000-0000-000012000000}"/>
    <hyperlink ref="AP4301" r:id="rId20" display="http://cdsbib.u-strasbg.fr/cgi-bin/cdsbib?1990RMxAA..21..381G" xr:uid="{00000000-0004-0000-0000-000013000000}"/>
    <hyperlink ref="AP429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2"/>
  <sheetViews>
    <sheetView workbookViewId="0">
      <selection activeCell="A16" sqref="A16:D30"/>
    </sheetView>
  </sheetViews>
  <sheetFormatPr defaultRowHeight="12.75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1" t="s">
        <v>42</v>
      </c>
      <c r="I1" s="32" t="s">
        <v>43</v>
      </c>
      <c r="J1" s="33" t="s">
        <v>44</v>
      </c>
    </row>
    <row r="2" spans="1:16">
      <c r="I2" s="34" t="s">
        <v>45</v>
      </c>
      <c r="J2" s="35" t="s">
        <v>46</v>
      </c>
    </row>
    <row r="3" spans="1:16">
      <c r="A3" s="36" t="s">
        <v>47</v>
      </c>
      <c r="I3" s="34" t="s">
        <v>48</v>
      </c>
      <c r="J3" s="35" t="s">
        <v>49</v>
      </c>
    </row>
    <row r="4" spans="1:16">
      <c r="I4" s="34" t="s">
        <v>50</v>
      </c>
      <c r="J4" s="35" t="s">
        <v>49</v>
      </c>
    </row>
    <row r="5" spans="1:16" ht="13.5" thickBot="1">
      <c r="I5" s="37" t="s">
        <v>51</v>
      </c>
      <c r="J5" s="38" t="s">
        <v>52</v>
      </c>
    </row>
    <row r="10" spans="1:16" ht="13.5" thickBot="1"/>
    <row r="11" spans="1:16" ht="12.75" customHeight="1" thickBot="1">
      <c r="A11" s="28" t="str">
        <f t="shared" ref="A11:A30" si="0">P11</f>
        <v>IBVS 5502 </v>
      </c>
      <c r="B11" s="5" t="str">
        <f t="shared" ref="B11:B30" si="1">IF(H11=INT(H11),"I","II")</f>
        <v>I</v>
      </c>
      <c r="C11" s="28">
        <f t="shared" ref="C11:C30" si="2">1*G11</f>
        <v>52971.5268</v>
      </c>
      <c r="D11" s="11" t="str">
        <f t="shared" ref="D11:D30" si="3">VLOOKUP(F11,I$1:J$5,2,FALSE)</f>
        <v>vis</v>
      </c>
      <c r="E11" s="39">
        <f>VLOOKUP(C11,Active!C$21:E$973,3,FALSE)</f>
        <v>49324.985955289012</v>
      </c>
      <c r="F11" s="5" t="s">
        <v>51</v>
      </c>
      <c r="G11" s="11" t="str">
        <f t="shared" ref="G11:G30" si="4">MID(I11,3,LEN(I11)-3)</f>
        <v>52971.5268</v>
      </c>
      <c r="H11" s="28">
        <f t="shared" ref="H11:H30" si="5">1*K11</f>
        <v>206</v>
      </c>
      <c r="I11" s="40" t="s">
        <v>96</v>
      </c>
      <c r="J11" s="41" t="s">
        <v>97</v>
      </c>
      <c r="K11" s="40">
        <v>206</v>
      </c>
      <c r="L11" s="40" t="s">
        <v>98</v>
      </c>
      <c r="M11" s="41" t="s">
        <v>99</v>
      </c>
      <c r="N11" s="41" t="s">
        <v>100</v>
      </c>
      <c r="O11" s="42" t="s">
        <v>101</v>
      </c>
      <c r="P11" s="43" t="s">
        <v>102</v>
      </c>
    </row>
    <row r="12" spans="1:16" ht="12.75" customHeight="1" thickBot="1">
      <c r="A12" s="28" t="str">
        <f t="shared" si="0"/>
        <v>IBVS 5843 </v>
      </c>
      <c r="B12" s="5" t="str">
        <f t="shared" si="1"/>
        <v>I</v>
      </c>
      <c r="C12" s="28">
        <f t="shared" si="2"/>
        <v>53974.814200000001</v>
      </c>
      <c r="D12" s="11" t="str">
        <f t="shared" si="3"/>
        <v>vis</v>
      </c>
      <c r="E12" s="39">
        <f>VLOOKUP(C12,Active!C$21:E$973,3,FALSE)</f>
        <v>51172.970424141065</v>
      </c>
      <c r="F12" s="5" t="s">
        <v>51</v>
      </c>
      <c r="G12" s="11" t="str">
        <f t="shared" si="4"/>
        <v>53974.8142</v>
      </c>
      <c r="H12" s="28">
        <f t="shared" si="5"/>
        <v>2054</v>
      </c>
      <c r="I12" s="40" t="s">
        <v>108</v>
      </c>
      <c r="J12" s="41" t="s">
        <v>109</v>
      </c>
      <c r="K12" s="40">
        <v>2054</v>
      </c>
      <c r="L12" s="40" t="s">
        <v>110</v>
      </c>
      <c r="M12" s="41" t="s">
        <v>111</v>
      </c>
      <c r="N12" s="41" t="s">
        <v>112</v>
      </c>
      <c r="O12" s="42" t="s">
        <v>113</v>
      </c>
      <c r="P12" s="43" t="s">
        <v>114</v>
      </c>
    </row>
    <row r="13" spans="1:16" ht="12.75" customHeight="1" thickBot="1">
      <c r="A13" s="28" t="str">
        <f t="shared" si="0"/>
        <v>IBVS 5843 </v>
      </c>
      <c r="B13" s="5" t="str">
        <f t="shared" si="1"/>
        <v>II</v>
      </c>
      <c r="C13" s="28">
        <f t="shared" si="2"/>
        <v>53976.7327</v>
      </c>
      <c r="D13" s="11" t="str">
        <f t="shared" si="3"/>
        <v>vis</v>
      </c>
      <c r="E13" s="39">
        <f>VLOOKUP(C13,Active!C$21:E$973,3,FALSE)</f>
        <v>51176.50416552314</v>
      </c>
      <c r="F13" s="5" t="s">
        <v>51</v>
      </c>
      <c r="G13" s="11" t="str">
        <f t="shared" si="4"/>
        <v>53976.7327</v>
      </c>
      <c r="H13" s="28">
        <f t="shared" si="5"/>
        <v>2057.5</v>
      </c>
      <c r="I13" s="40" t="s">
        <v>115</v>
      </c>
      <c r="J13" s="41" t="s">
        <v>116</v>
      </c>
      <c r="K13" s="40" t="s">
        <v>117</v>
      </c>
      <c r="L13" s="40" t="s">
        <v>118</v>
      </c>
      <c r="M13" s="41" t="s">
        <v>111</v>
      </c>
      <c r="N13" s="41" t="s">
        <v>112</v>
      </c>
      <c r="O13" s="42" t="s">
        <v>113</v>
      </c>
      <c r="P13" s="43" t="s">
        <v>114</v>
      </c>
    </row>
    <row r="14" spans="1:16" ht="12.75" customHeight="1" thickBot="1">
      <c r="A14" s="28" t="str">
        <f t="shared" si="0"/>
        <v>IBVS 5843 </v>
      </c>
      <c r="B14" s="5" t="str">
        <f t="shared" si="1"/>
        <v>I</v>
      </c>
      <c r="C14" s="28">
        <f t="shared" si="2"/>
        <v>53980.792300000001</v>
      </c>
      <c r="D14" s="11" t="str">
        <f t="shared" si="3"/>
        <v>vis</v>
      </c>
      <c r="E14" s="39">
        <f>VLOOKUP(C14,Active!C$21:E$973,3,FALSE)</f>
        <v>51183.981661751794</v>
      </c>
      <c r="F14" s="5" t="s">
        <v>51</v>
      </c>
      <c r="G14" s="11" t="str">
        <f t="shared" si="4"/>
        <v>53980.7923</v>
      </c>
      <c r="H14" s="28">
        <f t="shared" si="5"/>
        <v>2065</v>
      </c>
      <c r="I14" s="40" t="s">
        <v>119</v>
      </c>
      <c r="J14" s="41" t="s">
        <v>120</v>
      </c>
      <c r="K14" s="40" t="s">
        <v>121</v>
      </c>
      <c r="L14" s="40" t="s">
        <v>122</v>
      </c>
      <c r="M14" s="41" t="s">
        <v>111</v>
      </c>
      <c r="N14" s="41" t="s">
        <v>112</v>
      </c>
      <c r="O14" s="42" t="s">
        <v>113</v>
      </c>
      <c r="P14" s="43" t="s">
        <v>114</v>
      </c>
    </row>
    <row r="15" spans="1:16" ht="12.75" customHeight="1" thickBot="1">
      <c r="A15" s="28" t="str">
        <f t="shared" si="0"/>
        <v>IBVS 5843 </v>
      </c>
      <c r="B15" s="5" t="str">
        <f t="shared" si="1"/>
        <v>II</v>
      </c>
      <c r="C15" s="28">
        <f t="shared" si="2"/>
        <v>54032.647499999999</v>
      </c>
      <c r="D15" s="11" t="str">
        <f t="shared" si="3"/>
        <v>vis</v>
      </c>
      <c r="E15" s="39">
        <f>VLOOKUP(C15,Active!C$21:E$973,3,FALSE)</f>
        <v>51279.49527453036</v>
      </c>
      <c r="F15" s="5" t="s">
        <v>51</v>
      </c>
      <c r="G15" s="11" t="str">
        <f t="shared" si="4"/>
        <v>54032.6475</v>
      </c>
      <c r="H15" s="28">
        <f t="shared" si="5"/>
        <v>2160.5</v>
      </c>
      <c r="I15" s="40" t="s">
        <v>123</v>
      </c>
      <c r="J15" s="41" t="s">
        <v>124</v>
      </c>
      <c r="K15" s="40" t="s">
        <v>125</v>
      </c>
      <c r="L15" s="40" t="s">
        <v>126</v>
      </c>
      <c r="M15" s="41" t="s">
        <v>111</v>
      </c>
      <c r="N15" s="41" t="s">
        <v>112</v>
      </c>
      <c r="O15" s="42" t="s">
        <v>113</v>
      </c>
      <c r="P15" s="43" t="s">
        <v>114</v>
      </c>
    </row>
    <row r="16" spans="1:16" ht="12.75" customHeight="1" thickBot="1">
      <c r="A16" s="28" t="str">
        <f t="shared" si="0"/>
        <v> AN 255.423 </v>
      </c>
      <c r="B16" s="5" t="str">
        <f t="shared" si="1"/>
        <v>I</v>
      </c>
      <c r="C16" s="28">
        <f t="shared" si="2"/>
        <v>26192.539000000001</v>
      </c>
      <c r="D16" s="11" t="str">
        <f t="shared" si="3"/>
        <v>vis</v>
      </c>
      <c r="E16" s="39">
        <f>VLOOKUP(C16,Active!C$21:E$973,3,FALSE)</f>
        <v>-1.657736379060867E-2</v>
      </c>
      <c r="F16" s="5" t="s">
        <v>51</v>
      </c>
      <c r="G16" s="11" t="str">
        <f t="shared" si="4"/>
        <v>26192.539</v>
      </c>
      <c r="H16" s="28">
        <f t="shared" si="5"/>
        <v>-49119</v>
      </c>
      <c r="I16" s="40" t="s">
        <v>53</v>
      </c>
      <c r="J16" s="41" t="s">
        <v>54</v>
      </c>
      <c r="K16" s="40">
        <v>-49119</v>
      </c>
      <c r="L16" s="40" t="s">
        <v>55</v>
      </c>
      <c r="M16" s="41" t="s">
        <v>56</v>
      </c>
      <c r="N16" s="41"/>
      <c r="O16" s="42" t="s">
        <v>57</v>
      </c>
      <c r="P16" s="42" t="s">
        <v>58</v>
      </c>
    </row>
    <row r="17" spans="1:16" ht="12.75" customHeight="1" thickBot="1">
      <c r="A17" s="28" t="str">
        <f t="shared" si="0"/>
        <v> AN 255.423 </v>
      </c>
      <c r="B17" s="5" t="str">
        <f t="shared" si="1"/>
        <v>I</v>
      </c>
      <c r="C17" s="28">
        <f t="shared" si="2"/>
        <v>26265.312999999998</v>
      </c>
      <c r="D17" s="11" t="str">
        <f t="shared" si="3"/>
        <v>vis</v>
      </c>
      <c r="E17" s="39">
        <f>VLOOKUP(C17,Active!C$21:E$973,3,FALSE)</f>
        <v>134.02798627394171</v>
      </c>
      <c r="F17" s="5" t="s">
        <v>51</v>
      </c>
      <c r="G17" s="11" t="str">
        <f t="shared" si="4"/>
        <v>26265.313</v>
      </c>
      <c r="H17" s="28">
        <f t="shared" si="5"/>
        <v>-48985</v>
      </c>
      <c r="I17" s="40" t="s">
        <v>59</v>
      </c>
      <c r="J17" s="41" t="s">
        <v>60</v>
      </c>
      <c r="K17" s="40">
        <v>-48985</v>
      </c>
      <c r="L17" s="40" t="s">
        <v>61</v>
      </c>
      <c r="M17" s="41" t="s">
        <v>56</v>
      </c>
      <c r="N17" s="41"/>
      <c r="O17" s="42" t="s">
        <v>57</v>
      </c>
      <c r="P17" s="42" t="s">
        <v>58</v>
      </c>
    </row>
    <row r="18" spans="1:16" ht="12.75" customHeight="1" thickBot="1">
      <c r="A18" s="28" t="str">
        <f t="shared" si="0"/>
        <v> AN 255.423 </v>
      </c>
      <c r="B18" s="5" t="str">
        <f t="shared" si="1"/>
        <v>I</v>
      </c>
      <c r="C18" s="28">
        <f t="shared" si="2"/>
        <v>26651.298999999999</v>
      </c>
      <c r="D18" s="11" t="str">
        <f t="shared" si="3"/>
        <v>vis</v>
      </c>
      <c r="E18" s="39">
        <f>VLOOKUP(C18,Active!C$21:E$973,3,FALSE)</f>
        <v>844.98691309224978</v>
      </c>
      <c r="F18" s="5" t="s">
        <v>51</v>
      </c>
      <c r="G18" s="11" t="str">
        <f t="shared" si="4"/>
        <v>26651.299</v>
      </c>
      <c r="H18" s="28">
        <f t="shared" si="5"/>
        <v>-48274</v>
      </c>
      <c r="I18" s="40" t="s">
        <v>62</v>
      </c>
      <c r="J18" s="41" t="s">
        <v>63</v>
      </c>
      <c r="K18" s="40">
        <v>-48274</v>
      </c>
      <c r="L18" s="40" t="s">
        <v>64</v>
      </c>
      <c r="M18" s="41" t="s">
        <v>56</v>
      </c>
      <c r="N18" s="41"/>
      <c r="O18" s="42" t="s">
        <v>57</v>
      </c>
      <c r="P18" s="42" t="s">
        <v>58</v>
      </c>
    </row>
    <row r="19" spans="1:16" ht="12.75" customHeight="1" thickBot="1">
      <c r="A19" s="28" t="str">
        <f t="shared" si="0"/>
        <v> AN 255.423 </v>
      </c>
      <c r="B19" s="5" t="str">
        <f t="shared" si="1"/>
        <v>I</v>
      </c>
      <c r="C19" s="28">
        <f t="shared" si="2"/>
        <v>26956.435000000001</v>
      </c>
      <c r="D19" s="11" t="str">
        <f t="shared" si="3"/>
        <v>vis</v>
      </c>
      <c r="E19" s="39">
        <f>VLOOKUP(C19,Active!C$21:E$973,3,FALSE)</f>
        <v>1407.0258551617351</v>
      </c>
      <c r="F19" s="5" t="s">
        <v>51</v>
      </c>
      <c r="G19" s="11" t="str">
        <f t="shared" si="4"/>
        <v>26956.435</v>
      </c>
      <c r="H19" s="28">
        <f t="shared" si="5"/>
        <v>-47712</v>
      </c>
      <c r="I19" s="40" t="s">
        <v>65</v>
      </c>
      <c r="J19" s="41" t="s">
        <v>66</v>
      </c>
      <c r="K19" s="40">
        <v>-47712</v>
      </c>
      <c r="L19" s="40" t="s">
        <v>61</v>
      </c>
      <c r="M19" s="41" t="s">
        <v>56</v>
      </c>
      <c r="N19" s="41"/>
      <c r="O19" s="42" t="s">
        <v>57</v>
      </c>
      <c r="P19" s="42" t="s">
        <v>58</v>
      </c>
    </row>
    <row r="20" spans="1:16" ht="12.75" customHeight="1" thickBot="1">
      <c r="A20" s="28" t="str">
        <f t="shared" si="0"/>
        <v> AN 255.423 </v>
      </c>
      <c r="B20" s="5" t="str">
        <f t="shared" si="1"/>
        <v>I</v>
      </c>
      <c r="C20" s="28">
        <f t="shared" si="2"/>
        <v>27342.416000000001</v>
      </c>
      <c r="D20" s="11" t="str">
        <f t="shared" si="3"/>
        <v>vis</v>
      </c>
      <c r="E20" s="39">
        <f>VLOOKUP(C20,Active!C$21:E$973,3,FALSE)</f>
        <v>2117.9755723334893</v>
      </c>
      <c r="F20" s="5" t="s">
        <v>51</v>
      </c>
      <c r="G20" s="11" t="str">
        <f t="shared" si="4"/>
        <v>27342.416</v>
      </c>
      <c r="H20" s="28">
        <f t="shared" si="5"/>
        <v>-47001</v>
      </c>
      <c r="I20" s="40" t="s">
        <v>67</v>
      </c>
      <c r="J20" s="41" t="s">
        <v>68</v>
      </c>
      <c r="K20" s="40">
        <v>-47001</v>
      </c>
      <c r="L20" s="40" t="s">
        <v>69</v>
      </c>
      <c r="M20" s="41" t="s">
        <v>56</v>
      </c>
      <c r="N20" s="41"/>
      <c r="O20" s="42" t="s">
        <v>57</v>
      </c>
      <c r="P20" s="42" t="s">
        <v>58</v>
      </c>
    </row>
    <row r="21" spans="1:16" ht="12.75" customHeight="1" thickBot="1">
      <c r="A21" s="28" t="str">
        <f t="shared" si="0"/>
        <v> AN 255.423 </v>
      </c>
      <c r="B21" s="5" t="str">
        <f t="shared" si="1"/>
        <v>I</v>
      </c>
      <c r="C21" s="28">
        <f t="shared" si="2"/>
        <v>27385.308000000001</v>
      </c>
      <c r="D21" s="11" t="str">
        <f t="shared" si="3"/>
        <v>vis</v>
      </c>
      <c r="E21" s="39">
        <f>VLOOKUP(C21,Active!C$21:E$973,3,FALSE)</f>
        <v>2196.9796043167494</v>
      </c>
      <c r="F21" s="5" t="s">
        <v>51</v>
      </c>
      <c r="G21" s="11" t="str">
        <f t="shared" si="4"/>
        <v>27385.308</v>
      </c>
      <c r="H21" s="28">
        <f t="shared" si="5"/>
        <v>-46922</v>
      </c>
      <c r="I21" s="40" t="s">
        <v>70</v>
      </c>
      <c r="J21" s="41" t="s">
        <v>71</v>
      </c>
      <c r="K21" s="40">
        <v>-46922</v>
      </c>
      <c r="L21" s="40" t="s">
        <v>72</v>
      </c>
      <c r="M21" s="41" t="s">
        <v>56</v>
      </c>
      <c r="N21" s="41"/>
      <c r="O21" s="42" t="s">
        <v>57</v>
      </c>
      <c r="P21" s="42" t="s">
        <v>58</v>
      </c>
    </row>
    <row r="22" spans="1:16" ht="12.75" customHeight="1" thickBot="1">
      <c r="A22" s="28" t="str">
        <f t="shared" si="0"/>
        <v> AN 255.423 </v>
      </c>
      <c r="B22" s="5" t="str">
        <f t="shared" si="1"/>
        <v>I</v>
      </c>
      <c r="C22" s="28">
        <f t="shared" si="2"/>
        <v>27397.251</v>
      </c>
      <c r="D22" s="11" t="str">
        <f t="shared" si="3"/>
        <v>vis</v>
      </c>
      <c r="E22" s="39">
        <f>VLOOKUP(C22,Active!C$21:E$973,3,FALSE)</f>
        <v>2218.9777660712962</v>
      </c>
      <c r="F22" s="5" t="s">
        <v>51</v>
      </c>
      <c r="G22" s="11" t="str">
        <f t="shared" si="4"/>
        <v>27397.251</v>
      </c>
      <c r="H22" s="28">
        <f t="shared" si="5"/>
        <v>-46900</v>
      </c>
      <c r="I22" s="40" t="s">
        <v>73</v>
      </c>
      <c r="J22" s="41" t="s">
        <v>74</v>
      </c>
      <c r="K22" s="40">
        <v>-46900</v>
      </c>
      <c r="L22" s="40" t="s">
        <v>55</v>
      </c>
      <c r="M22" s="41" t="s">
        <v>75</v>
      </c>
      <c r="N22" s="41"/>
      <c r="O22" s="42" t="s">
        <v>57</v>
      </c>
      <c r="P22" s="42" t="s">
        <v>58</v>
      </c>
    </row>
    <row r="23" spans="1:16" ht="12.75" customHeight="1" thickBot="1">
      <c r="A23" s="28" t="str">
        <f t="shared" si="0"/>
        <v> AN 255.423 </v>
      </c>
      <c r="B23" s="5" t="str">
        <f t="shared" si="1"/>
        <v>I</v>
      </c>
      <c r="C23" s="28">
        <f t="shared" si="2"/>
        <v>27398.365000000002</v>
      </c>
      <c r="D23" s="11" t="str">
        <f t="shared" si="3"/>
        <v>vis</v>
      </c>
      <c r="E23" s="39">
        <f>VLOOKUP(C23,Active!C$21:E$973,3,FALSE)</f>
        <v>2221.0296753231255</v>
      </c>
      <c r="F23" s="5" t="s">
        <v>51</v>
      </c>
      <c r="G23" s="11" t="str">
        <f t="shared" si="4"/>
        <v>27398.365</v>
      </c>
      <c r="H23" s="28">
        <f t="shared" si="5"/>
        <v>-46898</v>
      </c>
      <c r="I23" s="40" t="s">
        <v>76</v>
      </c>
      <c r="J23" s="41" t="s">
        <v>77</v>
      </c>
      <c r="K23" s="40">
        <v>-46898</v>
      </c>
      <c r="L23" s="40" t="s">
        <v>78</v>
      </c>
      <c r="M23" s="41" t="s">
        <v>75</v>
      </c>
      <c r="N23" s="41"/>
      <c r="O23" s="42" t="s">
        <v>57</v>
      </c>
      <c r="P23" s="42" t="s">
        <v>58</v>
      </c>
    </row>
    <row r="24" spans="1:16" ht="12.75" customHeight="1" thickBot="1">
      <c r="A24" s="28" t="str">
        <f t="shared" si="0"/>
        <v> AN 255.423 </v>
      </c>
      <c r="B24" s="5" t="str">
        <f t="shared" si="1"/>
        <v>I</v>
      </c>
      <c r="C24" s="28">
        <f t="shared" si="2"/>
        <v>27416.257000000001</v>
      </c>
      <c r="D24" s="11" t="str">
        <f t="shared" si="3"/>
        <v>vis</v>
      </c>
      <c r="E24" s="39">
        <f>VLOOKUP(C24,Active!C$21:E$973,3,FALSE)</f>
        <v>2253.9854745454627</v>
      </c>
      <c r="F24" s="5" t="s">
        <v>51</v>
      </c>
      <c r="G24" s="11" t="str">
        <f t="shared" si="4"/>
        <v>27416.257</v>
      </c>
      <c r="H24" s="28">
        <f t="shared" si="5"/>
        <v>-46865</v>
      </c>
      <c r="I24" s="40" t="s">
        <v>79</v>
      </c>
      <c r="J24" s="41" t="s">
        <v>80</v>
      </c>
      <c r="K24" s="40">
        <v>-46865</v>
      </c>
      <c r="L24" s="40" t="s">
        <v>81</v>
      </c>
      <c r="M24" s="41" t="s">
        <v>75</v>
      </c>
      <c r="N24" s="41"/>
      <c r="O24" s="42" t="s">
        <v>57</v>
      </c>
      <c r="P24" s="42" t="s">
        <v>58</v>
      </c>
    </row>
    <row r="25" spans="1:16" ht="12.75" customHeight="1" thickBot="1">
      <c r="A25" s="28" t="str">
        <f t="shared" si="0"/>
        <v> AN 255.423 </v>
      </c>
      <c r="B25" s="5" t="str">
        <f t="shared" si="1"/>
        <v>I</v>
      </c>
      <c r="C25" s="28">
        <f t="shared" si="2"/>
        <v>27417.353999999999</v>
      </c>
      <c r="D25" s="11" t="str">
        <f t="shared" si="3"/>
        <v>vis</v>
      </c>
      <c r="E25" s="39">
        <f>VLOOKUP(C25,Active!C$21:E$973,3,FALSE)</f>
        <v>2256.006070999008</v>
      </c>
      <c r="F25" s="5" t="s">
        <v>51</v>
      </c>
      <c r="G25" s="11" t="str">
        <f t="shared" si="4"/>
        <v>27417.354</v>
      </c>
      <c r="H25" s="28">
        <f t="shared" si="5"/>
        <v>-46863</v>
      </c>
      <c r="I25" s="40" t="s">
        <v>82</v>
      </c>
      <c r="J25" s="41" t="s">
        <v>83</v>
      </c>
      <c r="K25" s="40">
        <v>-46863</v>
      </c>
      <c r="L25" s="40" t="s">
        <v>84</v>
      </c>
      <c r="M25" s="41" t="s">
        <v>75</v>
      </c>
      <c r="N25" s="41"/>
      <c r="O25" s="42" t="s">
        <v>57</v>
      </c>
      <c r="P25" s="42" t="s">
        <v>58</v>
      </c>
    </row>
    <row r="26" spans="1:16" ht="12.75" customHeight="1" thickBot="1">
      <c r="A26" s="28" t="str">
        <f t="shared" si="0"/>
        <v> AN 255.423 </v>
      </c>
      <c r="B26" s="5" t="str">
        <f t="shared" si="1"/>
        <v>I</v>
      </c>
      <c r="C26" s="28">
        <f t="shared" si="2"/>
        <v>27628.519</v>
      </c>
      <c r="D26" s="11" t="str">
        <f t="shared" si="3"/>
        <v>vis</v>
      </c>
      <c r="E26" s="39">
        <f>VLOOKUP(C26,Active!C$21:E$973,3,FALSE)</f>
        <v>2644.9570738374227</v>
      </c>
      <c r="F26" s="5" t="s">
        <v>51</v>
      </c>
      <c r="G26" s="11" t="str">
        <f t="shared" si="4"/>
        <v>27628.519</v>
      </c>
      <c r="H26" s="28">
        <f t="shared" si="5"/>
        <v>-46474</v>
      </c>
      <c r="I26" s="40" t="s">
        <v>85</v>
      </c>
      <c r="J26" s="41" t="s">
        <v>86</v>
      </c>
      <c r="K26" s="40">
        <v>-46474</v>
      </c>
      <c r="L26" s="40" t="s">
        <v>87</v>
      </c>
      <c r="M26" s="41" t="s">
        <v>75</v>
      </c>
      <c r="N26" s="41"/>
      <c r="O26" s="42" t="s">
        <v>57</v>
      </c>
      <c r="P26" s="42" t="s">
        <v>58</v>
      </c>
    </row>
    <row r="27" spans="1:16" ht="12.75" customHeight="1" thickBot="1">
      <c r="A27" s="28" t="str">
        <f t="shared" si="0"/>
        <v> AN 255.423 </v>
      </c>
      <c r="B27" s="5" t="str">
        <f t="shared" si="1"/>
        <v>I</v>
      </c>
      <c r="C27" s="28">
        <f t="shared" si="2"/>
        <v>27689.332999999999</v>
      </c>
      <c r="D27" s="11" t="str">
        <f t="shared" si="3"/>
        <v>vis</v>
      </c>
      <c r="E27" s="39">
        <f>VLOOKUP(C27,Active!C$21:E$973,3,FALSE)</f>
        <v>2756.9721629223313</v>
      </c>
      <c r="F27" s="5" t="s">
        <v>51</v>
      </c>
      <c r="G27" s="11" t="str">
        <f t="shared" si="4"/>
        <v>27689.333</v>
      </c>
      <c r="H27" s="28">
        <f t="shared" si="5"/>
        <v>-46362</v>
      </c>
      <c r="I27" s="40" t="s">
        <v>88</v>
      </c>
      <c r="J27" s="41" t="s">
        <v>89</v>
      </c>
      <c r="K27" s="40">
        <v>-46362</v>
      </c>
      <c r="L27" s="40" t="s">
        <v>90</v>
      </c>
      <c r="M27" s="41" t="s">
        <v>75</v>
      </c>
      <c r="N27" s="41"/>
      <c r="O27" s="42" t="s">
        <v>57</v>
      </c>
      <c r="P27" s="42" t="s">
        <v>58</v>
      </c>
    </row>
    <row r="28" spans="1:16" ht="12.75" customHeight="1" thickBot="1">
      <c r="A28" s="28" t="str">
        <f t="shared" si="0"/>
        <v> AN 255.423 </v>
      </c>
      <c r="B28" s="5" t="str">
        <f t="shared" si="1"/>
        <v>I</v>
      </c>
      <c r="C28" s="28">
        <f t="shared" si="2"/>
        <v>27745.277999999998</v>
      </c>
      <c r="D28" s="11" t="str">
        <f t="shared" si="3"/>
        <v>vis</v>
      </c>
      <c r="E28" s="39">
        <f>VLOOKUP(C28,Active!C$21:E$973,3,FALSE)</f>
        <v>2860.0188981947244</v>
      </c>
      <c r="F28" s="5" t="s">
        <v>51</v>
      </c>
      <c r="G28" s="11" t="str">
        <f t="shared" si="4"/>
        <v>27745.278</v>
      </c>
      <c r="H28" s="28">
        <f t="shared" si="5"/>
        <v>-46259</v>
      </c>
      <c r="I28" s="40" t="s">
        <v>91</v>
      </c>
      <c r="J28" s="41" t="s">
        <v>92</v>
      </c>
      <c r="K28" s="40">
        <v>-46259</v>
      </c>
      <c r="L28" s="40" t="s">
        <v>93</v>
      </c>
      <c r="M28" s="41" t="s">
        <v>75</v>
      </c>
      <c r="N28" s="41"/>
      <c r="O28" s="42" t="s">
        <v>57</v>
      </c>
      <c r="P28" s="42" t="s">
        <v>58</v>
      </c>
    </row>
    <row r="29" spans="1:16" ht="12.75" customHeight="1" thickBot="1">
      <c r="A29" s="28" t="str">
        <f t="shared" si="0"/>
        <v> AN 255.423 </v>
      </c>
      <c r="B29" s="5" t="str">
        <f t="shared" si="1"/>
        <v>I</v>
      </c>
      <c r="C29" s="28">
        <f t="shared" si="2"/>
        <v>27746.345000000001</v>
      </c>
      <c r="D29" s="11" t="str">
        <f t="shared" si="3"/>
        <v>vis</v>
      </c>
      <c r="E29" s="39">
        <f>VLOOKUP(C29,Active!C$21:E$973,3,FALSE)</f>
        <v>2861.9842367689657</v>
      </c>
      <c r="F29" s="5" t="s">
        <v>51</v>
      </c>
      <c r="G29" s="11" t="str">
        <f t="shared" si="4"/>
        <v>27746.345</v>
      </c>
      <c r="H29" s="28">
        <f t="shared" si="5"/>
        <v>-46257</v>
      </c>
      <c r="I29" s="40" t="s">
        <v>94</v>
      </c>
      <c r="J29" s="41" t="s">
        <v>95</v>
      </c>
      <c r="K29" s="40">
        <v>-46257</v>
      </c>
      <c r="L29" s="40" t="s">
        <v>81</v>
      </c>
      <c r="M29" s="41" t="s">
        <v>75</v>
      </c>
      <c r="N29" s="41"/>
      <c r="O29" s="42" t="s">
        <v>57</v>
      </c>
      <c r="P29" s="42" t="s">
        <v>58</v>
      </c>
    </row>
    <row r="30" spans="1:16" ht="12.75" customHeight="1" thickBot="1">
      <c r="A30" s="28" t="str">
        <f t="shared" si="0"/>
        <v>VSB 45 </v>
      </c>
      <c r="B30" s="5" t="str">
        <f t="shared" si="1"/>
        <v>I</v>
      </c>
      <c r="C30" s="28">
        <f t="shared" si="2"/>
        <v>53973.193800000001</v>
      </c>
      <c r="D30" s="11" t="str">
        <f t="shared" si="3"/>
        <v>vis</v>
      </c>
      <c r="E30" s="39">
        <f>VLOOKUP(C30,Active!C$21:E$973,3,FALSE)</f>
        <v>51169.985761886433</v>
      </c>
      <c r="F30" s="5" t="s">
        <v>51</v>
      </c>
      <c r="G30" s="11" t="str">
        <f t="shared" si="4"/>
        <v>53973.1938</v>
      </c>
      <c r="H30" s="28">
        <f t="shared" si="5"/>
        <v>2051</v>
      </c>
      <c r="I30" s="40" t="s">
        <v>103</v>
      </c>
      <c r="J30" s="41" t="s">
        <v>104</v>
      </c>
      <c r="K30" s="40">
        <v>2051</v>
      </c>
      <c r="L30" s="40" t="s">
        <v>105</v>
      </c>
      <c r="M30" s="41" t="s">
        <v>99</v>
      </c>
      <c r="N30" s="41" t="s">
        <v>100</v>
      </c>
      <c r="O30" s="42" t="s">
        <v>106</v>
      </c>
      <c r="P30" s="43" t="s">
        <v>107</v>
      </c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</sheetData>
  <phoneticPr fontId="8" type="noConversion"/>
  <hyperlinks>
    <hyperlink ref="A3" r:id="rId1" xr:uid="{00000000-0004-0000-0100-000000000000}"/>
    <hyperlink ref="P11" r:id="rId2" display="http://www.konkoly.hu/cgi-bin/IBVS?5502" xr:uid="{00000000-0004-0000-0100-000001000000}"/>
    <hyperlink ref="P30" r:id="rId3" display="http://vsolj.cetus-net.org/no45.pdf" xr:uid="{00000000-0004-0000-0100-000002000000}"/>
    <hyperlink ref="P12" r:id="rId4" display="http://www.konkoly.hu/cgi-bin/IBVS?5843" xr:uid="{00000000-0004-0000-0100-000003000000}"/>
    <hyperlink ref="P13" r:id="rId5" display="http://www.konkoly.hu/cgi-bin/IBVS?5843" xr:uid="{00000000-0004-0000-0100-000004000000}"/>
    <hyperlink ref="P14" r:id="rId6" display="http://www.konkoly.hu/cgi-bin/IBVS?5843" xr:uid="{00000000-0004-0000-0100-000005000000}"/>
    <hyperlink ref="P15" r:id="rId7" display="http://www.konkoly.hu/cgi-bin/IBVS?5843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2024-01-11T05:39:46Z</dcterms:modified>
</cp:coreProperties>
</file>