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ECC4B15-F584-43DA-9D9A-5FC538FAFD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3" i="1" l="1"/>
  <c r="Q52" i="1"/>
  <c r="E51" i="1"/>
  <c r="F51" i="1"/>
  <c r="E44" i="1"/>
  <c r="F44" i="1"/>
  <c r="Q51" i="1"/>
  <c r="Q50" i="1"/>
  <c r="E26" i="1"/>
  <c r="F26" i="1"/>
  <c r="E34" i="1"/>
  <c r="F34" i="1"/>
  <c r="D9" i="1"/>
  <c r="C9" i="1"/>
  <c r="Q45" i="1"/>
  <c r="Q47" i="1"/>
  <c r="G12" i="2"/>
  <c r="C12" i="2"/>
  <c r="G13" i="2"/>
  <c r="C13" i="2"/>
  <c r="G14" i="2"/>
  <c r="C14" i="2"/>
  <c r="G15" i="2"/>
  <c r="C15" i="2"/>
  <c r="E15" i="2"/>
  <c r="G16" i="2"/>
  <c r="C16" i="2"/>
  <c r="G17" i="2"/>
  <c r="C17" i="2"/>
  <c r="G18" i="2"/>
  <c r="C18" i="2"/>
  <c r="G19" i="2"/>
  <c r="C19" i="2"/>
  <c r="G20" i="2"/>
  <c r="C20" i="2"/>
  <c r="G21" i="2"/>
  <c r="C21" i="2"/>
  <c r="G22" i="2"/>
  <c r="C22" i="2"/>
  <c r="G23" i="2"/>
  <c r="C23" i="2"/>
  <c r="E23" i="2"/>
  <c r="G24" i="2"/>
  <c r="C24" i="2"/>
  <c r="G25" i="2"/>
  <c r="C25" i="2"/>
  <c r="G26" i="2"/>
  <c r="C26" i="2"/>
  <c r="G27" i="2"/>
  <c r="C27" i="2"/>
  <c r="G28" i="2"/>
  <c r="C28" i="2"/>
  <c r="G29" i="2"/>
  <c r="C29" i="2"/>
  <c r="G30" i="2"/>
  <c r="C30" i="2"/>
  <c r="G31" i="2"/>
  <c r="C31" i="2"/>
  <c r="G32" i="2"/>
  <c r="C32" i="2"/>
  <c r="G33" i="2"/>
  <c r="C33" i="2"/>
  <c r="E33" i="2"/>
  <c r="G36" i="2"/>
  <c r="C36" i="2"/>
  <c r="G34" i="2"/>
  <c r="C34" i="2"/>
  <c r="G37" i="2"/>
  <c r="C37" i="2"/>
  <c r="G35" i="2"/>
  <c r="C35" i="2"/>
  <c r="G11" i="2"/>
  <c r="C11" i="2"/>
  <c r="H35" i="2"/>
  <c r="D35" i="2"/>
  <c r="B35" i="2"/>
  <c r="A35" i="2"/>
  <c r="H37" i="2"/>
  <c r="B37" i="2"/>
  <c r="D37" i="2"/>
  <c r="A37" i="2"/>
  <c r="H34" i="2"/>
  <c r="D34" i="2"/>
  <c r="B34" i="2"/>
  <c r="A34" i="2"/>
  <c r="H36" i="2"/>
  <c r="B36" i="2"/>
  <c r="D36" i="2"/>
  <c r="A36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49" i="1"/>
  <c r="Q46" i="1"/>
  <c r="Q21" i="1"/>
  <c r="Q48" i="1"/>
  <c r="F16" i="1"/>
  <c r="F17" i="1" s="1"/>
  <c r="C17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C7" i="1"/>
  <c r="E53" i="1"/>
  <c r="F53" i="1"/>
  <c r="C8" i="1"/>
  <c r="Q44" i="1"/>
  <c r="Q42" i="1"/>
  <c r="Q43" i="1"/>
  <c r="Q36" i="1"/>
  <c r="Q37" i="1"/>
  <c r="Q38" i="1"/>
  <c r="Q39" i="1"/>
  <c r="Q40" i="1"/>
  <c r="Q41" i="1"/>
  <c r="Q23" i="1"/>
  <c r="E32" i="2"/>
  <c r="E29" i="2"/>
  <c r="E24" i="2"/>
  <c r="E21" i="2"/>
  <c r="E16" i="2"/>
  <c r="E27" i="1"/>
  <c r="F27" i="1"/>
  <c r="E45" i="1"/>
  <c r="F45" i="1"/>
  <c r="E52" i="1"/>
  <c r="F52" i="1"/>
  <c r="G34" i="1"/>
  <c r="H34" i="1"/>
  <c r="E32" i="1"/>
  <c r="F32" i="1"/>
  <c r="G26" i="1"/>
  <c r="H26" i="1"/>
  <c r="E24" i="1"/>
  <c r="F24" i="1"/>
  <c r="G24" i="1"/>
  <c r="H24" i="1"/>
  <c r="G44" i="1"/>
  <c r="J44" i="1"/>
  <c r="E42" i="1"/>
  <c r="F42" i="1"/>
  <c r="G51" i="1"/>
  <c r="K51" i="1"/>
  <c r="E35" i="1"/>
  <c r="F35" i="1"/>
  <c r="E36" i="1"/>
  <c r="F36" i="1"/>
  <c r="E29" i="1"/>
  <c r="F29" i="1"/>
  <c r="G29" i="1"/>
  <c r="H29" i="1"/>
  <c r="G22" i="1"/>
  <c r="H22" i="1"/>
  <c r="E23" i="1"/>
  <c r="F23" i="1"/>
  <c r="G23" i="1"/>
  <c r="I23" i="1"/>
  <c r="E47" i="1"/>
  <c r="F47" i="1"/>
  <c r="G47" i="1"/>
  <c r="K47" i="1"/>
  <c r="E39" i="1"/>
  <c r="F39" i="1"/>
  <c r="G39" i="1"/>
  <c r="I39" i="1"/>
  <c r="E31" i="1"/>
  <c r="F31" i="1"/>
  <c r="G31" i="1"/>
  <c r="H31" i="1"/>
  <c r="G25" i="1"/>
  <c r="H25" i="1"/>
  <c r="E22" i="1"/>
  <c r="F22" i="1"/>
  <c r="E49" i="1"/>
  <c r="F49" i="1"/>
  <c r="G49" i="1"/>
  <c r="K49" i="1"/>
  <c r="E41" i="1"/>
  <c r="F41" i="1"/>
  <c r="G41" i="1"/>
  <c r="J41" i="1"/>
  <c r="E28" i="1"/>
  <c r="F28" i="1"/>
  <c r="G28" i="1"/>
  <c r="H28" i="1"/>
  <c r="G21" i="1"/>
  <c r="E37" i="1"/>
  <c r="F37" i="1"/>
  <c r="G37" i="1"/>
  <c r="I37" i="1"/>
  <c r="E46" i="1"/>
  <c r="F46" i="1"/>
  <c r="G46" i="1"/>
  <c r="J46" i="1"/>
  <c r="G40" i="1"/>
  <c r="I40" i="1"/>
  <c r="E38" i="1"/>
  <c r="F38" i="1"/>
  <c r="G38" i="1"/>
  <c r="I38" i="1"/>
  <c r="G53" i="1"/>
  <c r="K53" i="1"/>
  <c r="G35" i="1"/>
  <c r="H35" i="1"/>
  <c r="E33" i="1"/>
  <c r="F33" i="1"/>
  <c r="G33" i="1"/>
  <c r="H33" i="1"/>
  <c r="G27" i="1"/>
  <c r="H27" i="1"/>
  <c r="E25" i="1"/>
  <c r="F25" i="1"/>
  <c r="G36" i="1"/>
  <c r="I36" i="1"/>
  <c r="G45" i="1"/>
  <c r="I45" i="1"/>
  <c r="E43" i="1"/>
  <c r="F43" i="1"/>
  <c r="G43" i="1"/>
  <c r="J43" i="1"/>
  <c r="G52" i="1"/>
  <c r="K52" i="1"/>
  <c r="E50" i="1"/>
  <c r="F50" i="1"/>
  <c r="G50" i="1"/>
  <c r="K50" i="1"/>
  <c r="G32" i="1"/>
  <c r="H32" i="1"/>
  <c r="E30" i="1"/>
  <c r="F30" i="1"/>
  <c r="G30" i="1"/>
  <c r="H30" i="1"/>
  <c r="E21" i="1"/>
  <c r="F21" i="1"/>
  <c r="E48" i="1"/>
  <c r="F48" i="1"/>
  <c r="G48" i="1"/>
  <c r="K48" i="1"/>
  <c r="G42" i="1"/>
  <c r="J42" i="1"/>
  <c r="E40" i="1"/>
  <c r="F40" i="1"/>
  <c r="E26" i="2"/>
  <c r="E35" i="2"/>
  <c r="E20" i="2"/>
  <c r="E13" i="2"/>
  <c r="E22" i="2"/>
  <c r="E12" i="2"/>
  <c r="E25" i="2"/>
  <c r="E27" i="2"/>
  <c r="E18" i="2"/>
  <c r="E31" i="2"/>
  <c r="E36" i="2"/>
  <c r="E30" i="2"/>
  <c r="E37" i="2"/>
  <c r="H21" i="1"/>
  <c r="E17" i="2"/>
  <c r="E34" i="2"/>
  <c r="E19" i="2"/>
  <c r="E28" i="2"/>
  <c r="E14" i="2"/>
  <c r="E11" i="2"/>
  <c r="C12" i="1"/>
  <c r="C11" i="1"/>
  <c r="O27" i="1" l="1"/>
  <c r="O30" i="1"/>
  <c r="C15" i="1"/>
  <c r="O34" i="1"/>
  <c r="O47" i="1"/>
  <c r="O35" i="1"/>
  <c r="O38" i="1"/>
  <c r="O31" i="1"/>
  <c r="O25" i="1"/>
  <c r="O53" i="1"/>
  <c r="O48" i="1"/>
  <c r="O52" i="1"/>
  <c r="O36" i="1"/>
  <c r="O51" i="1"/>
  <c r="O43" i="1"/>
  <c r="O50" i="1"/>
  <c r="O24" i="1"/>
  <c r="O40" i="1"/>
  <c r="O28" i="1"/>
  <c r="O45" i="1"/>
  <c r="O41" i="1"/>
  <c r="O29" i="1"/>
  <c r="O32" i="1"/>
  <c r="O33" i="1"/>
  <c r="O22" i="1"/>
  <c r="O44" i="1"/>
  <c r="O39" i="1"/>
  <c r="O42" i="1"/>
  <c r="O46" i="1"/>
  <c r="O37" i="1"/>
  <c r="O23" i="1"/>
  <c r="O21" i="1"/>
  <c r="O26" i="1"/>
  <c r="O49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<sst xmlns="http://schemas.openxmlformats.org/spreadsheetml/2006/main" count="334" uniqueCount="172">
  <si>
    <t>JAVSO..44…69</t>
  </si>
  <si>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</si>
  <si>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</si>
  <si>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</si>
  <si>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</si>
  <si>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</si>
  <si>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</si>
  <si>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</si>
  <si>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</si>
  <si>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</si>
  <si>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</si>
  <si>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</si>
  <si>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</si>
  <si>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</si>
  <si>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</si>
  <si>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</si>
  <si>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</si>
  <si>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</si>
  <si>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</si>
  <si>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</si>
  <si>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</si>
  <si>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</si>
  <si>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</si>
  <si>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</si>
  <si>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</si>
  <si>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</si>
  <si>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</si>
  <si>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</si>
  <si>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Bull.77</t>
  </si>
  <si>
    <t>B</t>
  </si>
  <si>
    <t>Blaettler E</t>
  </si>
  <si>
    <t>BBSAG Bull.115</t>
  </si>
  <si>
    <t>Diethelm R</t>
  </si>
  <si>
    <t>BBSAG Bull.116</t>
  </si>
  <si>
    <t>IBVS 5287</t>
  </si>
  <si>
    <t>IBVS 4888</t>
  </si>
  <si>
    <t># of data points:</t>
  </si>
  <si>
    <t>EB</t>
  </si>
  <si>
    <t>EX Aqr / gsc 0532-0877</t>
  </si>
  <si>
    <t>SV* HV 10663</t>
  </si>
  <si>
    <t>CSV 5384</t>
  </si>
  <si>
    <t>IBVS 1369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</si>
  <si>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</si>
  <si>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</si>
  <si>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</si>
  <si>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</si>
  <si>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</si>
  <si>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</si>
  <si>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</si>
  <si>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</si>
  <si>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0137</t>
  </si>
  <si>
    <t>I</t>
  </si>
  <si>
    <t>??</t>
  </si>
  <si>
    <t>pg</t>
  </si>
  <si>
    <t>IBVS 5918</t>
  </si>
  <si>
    <t>IBVS 6011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</si>
  <si>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</si>
  <si>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</si>
  <si>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</si>
  <si>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</si>
  <si>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</si>
  <si>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</si>
  <si>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</si>
  <si>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</si>
  <si>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</si>
  <si>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</si>
  <si>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</si>
  <si>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</si>
  <si>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2428847.27 </t>
  </si>
  <si>
    <t> 09.11.1937 18:28 </t>
  </si>
  <si>
    <t> -0.03 </t>
  </si>
  <si>
    <t>P </t>
  </si>
  <si>
    <t> W.Zessewitsch </t>
  </si>
  <si>
    <t>IBVS 1369 </t>
  </si>
  <si>
    <t>2437882.48 </t>
  </si>
  <si>
    <t> 05.08.1962 23:31 </t>
  </si>
  <si>
    <t> -0.07 </t>
  </si>
  <si>
    <t>2437932.35 </t>
  </si>
  <si>
    <t> 24.09.1962 20:24 </t>
  </si>
  <si>
    <t> -0.01 </t>
  </si>
  <si>
    <t>2439050.29 </t>
  </si>
  <si>
    <t> 16.10.1965 18:57 </t>
  </si>
  <si>
    <t> -0.02 </t>
  </si>
  <si>
    <t>2439058.26 </t>
  </si>
  <si>
    <t> 24.10.1965 18:14 </t>
  </si>
  <si>
    <t> -0.06 </t>
  </si>
  <si>
    <t>2439412.30 </t>
  </si>
  <si>
    <t> 13.10.1966 19:12 </t>
  </si>
  <si>
    <t> 0.01 </t>
  </si>
  <si>
    <t>2440069.52 </t>
  </si>
  <si>
    <t> 01.08.1968 00:28 </t>
  </si>
  <si>
    <t>2440859.33 </t>
  </si>
  <si>
    <t> 29.09.1970 19:55 </t>
  </si>
  <si>
    <t>2442248.50 </t>
  </si>
  <si>
    <t> 20.07.1974 00:00 </t>
  </si>
  <si>
    <t> -0.04 </t>
  </si>
  <si>
    <t>2442281.43 </t>
  </si>
  <si>
    <t> 21.08.1974 22:19 </t>
  </si>
  <si>
    <t>2442339.27 </t>
  </si>
  <si>
    <t> 18.10.1974 18:28 </t>
  </si>
  <si>
    <t>2442355.22 </t>
  </si>
  <si>
    <t> 03.11.1974 17:16 </t>
  </si>
  <si>
    <t>2442363.17 </t>
  </si>
  <si>
    <t> 11.11.1974 16:04 </t>
  </si>
  <si>
    <t> -0.10 </t>
  </si>
  <si>
    <t>2442667.38 </t>
  </si>
  <si>
    <t> 11.09.1975 21:07 </t>
  </si>
  <si>
    <t>2446260.545 </t>
  </si>
  <si>
    <t> 14.07.1985 01:04 </t>
  </si>
  <si>
    <t> -0.005 </t>
  </si>
  <si>
    <t>V </t>
  </si>
  <si>
    <t> K.Locher </t>
  </si>
  <si>
    <t> BBS 77 </t>
  </si>
  <si>
    <t>2446261.439 </t>
  </si>
  <si>
    <t> 14.07.1985 22:32 </t>
  </si>
  <si>
    <t> -0.001 </t>
  </si>
  <si>
    <t>2446268.561 </t>
  </si>
  <si>
    <t> 22.07.1985 01:27 </t>
  </si>
  <si>
    <t> 0.006 </t>
  </si>
  <si>
    <t>2446269.443 </t>
  </si>
  <si>
    <t> 22.07.1985 22:37 </t>
  </si>
  <si>
    <t>2450684.344 </t>
  </si>
  <si>
    <t> 23.08.1997 20:15 </t>
  </si>
  <si>
    <t>E </t>
  </si>
  <si>
    <t>?</t>
  </si>
  <si>
    <t> E.Blättler </t>
  </si>
  <si>
    <t> BBS 115 </t>
  </si>
  <si>
    <t>2450700.3578 </t>
  </si>
  <si>
    <t> 08.09.1997 20:35 </t>
  </si>
  <si>
    <t> 0.0014 </t>
  </si>
  <si>
    <t> R.Diethelm </t>
  </si>
  <si>
    <t> BBS 116 </t>
  </si>
  <si>
    <t>2451036.5451 </t>
  </si>
  <si>
    <t> 11.08.1998 01:04 </t>
  </si>
  <si>
    <t> 0.0015 </t>
  </si>
  <si>
    <t> J.Safar </t>
  </si>
  <si>
    <t>IBVS 4888 </t>
  </si>
  <si>
    <t>2451045.4347 </t>
  </si>
  <si>
    <t> 19.08.1998 22:25 </t>
  </si>
  <si>
    <t> -0.0027 </t>
  </si>
  <si>
    <t> M.Zejda </t>
  </si>
  <si>
    <t>2451777.4040 </t>
  </si>
  <si>
    <t> 20.08.2000 21:41 </t>
  </si>
  <si>
    <t> 0.0034 </t>
  </si>
  <si>
    <t>IBVS 5287 </t>
  </si>
  <si>
    <t>2452147.386 </t>
  </si>
  <si>
    <t> 25.08.2001 21:15 </t>
  </si>
  <si>
    <t> 0.002 </t>
  </si>
  <si>
    <t> BBS 126 </t>
  </si>
  <si>
    <t>2454671.4649 </t>
  </si>
  <si>
    <t> 23.07.2008 23:09 </t>
  </si>
  <si>
    <t> 0.0081 </t>
  </si>
  <si>
    <t>C </t>
  </si>
  <si>
    <t>-U;-I</t>
  </si>
  <si>
    <t> M.&amp; K.Rätz </t>
  </si>
  <si>
    <t>BAVM 209 </t>
  </si>
  <si>
    <t>2455082.3603 </t>
  </si>
  <si>
    <t> 07.09.2009 20:38 </t>
  </si>
  <si>
    <t>2903</t>
  </si>
  <si>
    <t> 0.0080 </t>
  </si>
  <si>
    <t>R</t>
  </si>
  <si>
    <t> R.Ehrenberger </t>
  </si>
  <si>
    <t>OEJV 0137 </t>
  </si>
  <si>
    <t>2455847.675 </t>
  </si>
  <si>
    <t> 13.10.2011 04:12 </t>
  </si>
  <si>
    <t>3763.5</t>
  </si>
  <si>
    <t> 0.008 </t>
  </si>
  <si>
    <t>IBVS 6011 </t>
  </si>
  <si>
    <t>s5</t>
  </si>
  <si>
    <t>s6</t>
  </si>
  <si>
    <t>s7</t>
  </si>
  <si>
    <t>JAVSO..46..184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</si>
</sst>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14" fontId="15" fillId="0" borderId="0" xfId="0" applyNumberFormat="1" applyFont="1" applyAlignme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0" fillId="0" borderId="0" xfId="0" applyFont="1" applyAlignment="1"/>
    <xf numFmtId="0" fontId="15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Aqr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582652277824241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-10159</c:v>
                </c:pt>
                <c:pt idx="1">
                  <c:v>0</c:v>
                </c:pt>
                <c:pt idx="2">
                  <c:v>0</c:v>
                </c:pt>
                <c:pt idx="3">
                  <c:v>56</c:v>
                </c:pt>
                <c:pt idx="4">
                  <c:v>1313</c:v>
                </c:pt>
                <c:pt idx="5">
                  <c:v>1322</c:v>
                </c:pt>
                <c:pt idx="6">
                  <c:v>1720</c:v>
                </c:pt>
                <c:pt idx="7">
                  <c:v>2459</c:v>
                </c:pt>
                <c:pt idx="8">
                  <c:v>3347</c:v>
                </c:pt>
                <c:pt idx="9">
                  <c:v>4909</c:v>
                </c:pt>
                <c:pt idx="10">
                  <c:v>4946</c:v>
                </c:pt>
                <c:pt idx="11">
                  <c:v>5011</c:v>
                </c:pt>
                <c:pt idx="12">
                  <c:v>5029</c:v>
                </c:pt>
                <c:pt idx="13">
                  <c:v>5038</c:v>
                </c:pt>
                <c:pt idx="14">
                  <c:v>5380</c:v>
                </c:pt>
                <c:pt idx="15">
                  <c:v>9420</c:v>
                </c:pt>
                <c:pt idx="16">
                  <c:v>9421</c:v>
                </c:pt>
                <c:pt idx="17">
                  <c:v>9429</c:v>
                </c:pt>
                <c:pt idx="18">
                  <c:v>9430</c:v>
                </c:pt>
                <c:pt idx="19">
                  <c:v>14394</c:v>
                </c:pt>
                <c:pt idx="20">
                  <c:v>14412</c:v>
                </c:pt>
                <c:pt idx="21">
                  <c:v>14790</c:v>
                </c:pt>
                <c:pt idx="22">
                  <c:v>14800</c:v>
                </c:pt>
                <c:pt idx="23">
                  <c:v>15623</c:v>
                </c:pt>
                <c:pt idx="24">
                  <c:v>16039</c:v>
                </c:pt>
                <c:pt idx="25">
                  <c:v>18877</c:v>
                </c:pt>
                <c:pt idx="26">
                  <c:v>19339</c:v>
                </c:pt>
                <c:pt idx="27">
                  <c:v>19339</c:v>
                </c:pt>
                <c:pt idx="28">
                  <c:v>20199.5</c:v>
                </c:pt>
                <c:pt idx="29">
                  <c:v>21397</c:v>
                </c:pt>
                <c:pt idx="30">
                  <c:v>21813</c:v>
                </c:pt>
                <c:pt idx="31">
                  <c:v>22247</c:v>
                </c:pt>
                <c:pt idx="32">
                  <c:v>22681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-1.3007600002310937E-2</c:v>
                </c:pt>
                <c:pt idx="1">
                  <c:v>-5.0999999999476131E-2</c:v>
                </c:pt>
                <c:pt idx="3">
                  <c:v>1.3518399995518848E-2</c:v>
                </c:pt>
                <c:pt idx="4">
                  <c:v>-1.6668000025674701E-3</c:v>
                </c:pt>
                <c:pt idx="5">
                  <c:v>-3.6119199998211116E-2</c:v>
                </c:pt>
                <c:pt idx="6">
                  <c:v>2.920799999992596E-2</c:v>
                </c:pt>
                <c:pt idx="7">
                  <c:v>-5.2724000051966868E-3</c:v>
                </c:pt>
                <c:pt idx="8">
                  <c:v>3.2090799999423325E-2</c:v>
                </c:pt>
                <c:pt idx="9">
                  <c:v>-1.509240000450518E-2</c:v>
                </c:pt>
                <c:pt idx="10">
                  <c:v>7.714399995165877E-3</c:v>
                </c:pt>
                <c:pt idx="11">
                  <c:v>3.7780399994517211E-2</c:v>
                </c:pt>
                <c:pt idx="12">
                  <c:v>-2.112440000200877E-2</c:v>
                </c:pt>
                <c:pt idx="13">
                  <c:v>-7.5576800001726951E-2</c:v>
                </c:pt>
                <c:pt idx="14">
                  <c:v>-3.4768000004987698E-2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CC-492E-AE16-F5897012F5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19">
                    <c:v>3.0000000000000001E-3</c:v>
                  </c:pt>
                  <c:pt idx="20">
                    <c:v>8.9999999999999998E-4</c:v>
                  </c:pt>
                  <c:pt idx="21">
                    <c:v>2.5000000000000001E-3</c:v>
                  </c:pt>
                  <c:pt idx="22">
                    <c:v>1.2999999999999999E-2</c:v>
                  </c:pt>
                  <c:pt idx="23">
                    <c:v>9.7000000000000003E-3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4.0000000000000001E-3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19">
                    <c:v>3.0000000000000001E-3</c:v>
                  </c:pt>
                  <c:pt idx="20">
                    <c:v>8.9999999999999998E-4</c:v>
                  </c:pt>
                  <c:pt idx="21">
                    <c:v>2.5000000000000001E-3</c:v>
                  </c:pt>
                  <c:pt idx="22">
                    <c:v>1.2999999999999999E-2</c:v>
                  </c:pt>
                  <c:pt idx="23">
                    <c:v>9.7000000000000003E-3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4.0000000000000001E-3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-10159</c:v>
                </c:pt>
                <c:pt idx="1">
                  <c:v>0</c:v>
                </c:pt>
                <c:pt idx="2">
                  <c:v>0</c:v>
                </c:pt>
                <c:pt idx="3">
                  <c:v>56</c:v>
                </c:pt>
                <c:pt idx="4">
                  <c:v>1313</c:v>
                </c:pt>
                <c:pt idx="5">
                  <c:v>1322</c:v>
                </c:pt>
                <c:pt idx="6">
                  <c:v>1720</c:v>
                </c:pt>
                <c:pt idx="7">
                  <c:v>2459</c:v>
                </c:pt>
                <c:pt idx="8">
                  <c:v>3347</c:v>
                </c:pt>
                <c:pt idx="9">
                  <c:v>4909</c:v>
                </c:pt>
                <c:pt idx="10">
                  <c:v>4946</c:v>
                </c:pt>
                <c:pt idx="11">
                  <c:v>5011</c:v>
                </c:pt>
                <c:pt idx="12">
                  <c:v>5029</c:v>
                </c:pt>
                <c:pt idx="13">
                  <c:v>5038</c:v>
                </c:pt>
                <c:pt idx="14">
                  <c:v>5380</c:v>
                </c:pt>
                <c:pt idx="15">
                  <c:v>9420</c:v>
                </c:pt>
                <c:pt idx="16">
                  <c:v>9421</c:v>
                </c:pt>
                <c:pt idx="17">
                  <c:v>9429</c:v>
                </c:pt>
                <c:pt idx="18">
                  <c:v>9430</c:v>
                </c:pt>
                <c:pt idx="19">
                  <c:v>14394</c:v>
                </c:pt>
                <c:pt idx="20">
                  <c:v>14412</c:v>
                </c:pt>
                <c:pt idx="21">
                  <c:v>14790</c:v>
                </c:pt>
                <c:pt idx="22">
                  <c:v>14800</c:v>
                </c:pt>
                <c:pt idx="23">
                  <c:v>15623</c:v>
                </c:pt>
                <c:pt idx="24">
                  <c:v>16039</c:v>
                </c:pt>
                <c:pt idx="25">
                  <c:v>18877</c:v>
                </c:pt>
                <c:pt idx="26">
                  <c:v>19339</c:v>
                </c:pt>
                <c:pt idx="27">
                  <c:v>19339</c:v>
                </c:pt>
                <c:pt idx="28">
                  <c:v>20199.5</c:v>
                </c:pt>
                <c:pt idx="29">
                  <c:v>21397</c:v>
                </c:pt>
                <c:pt idx="30">
                  <c:v>21813</c:v>
                </c:pt>
                <c:pt idx="31">
                  <c:v>22247</c:v>
                </c:pt>
                <c:pt idx="32">
                  <c:v>22681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">
                  <c:v>0</c:v>
                </c:pt>
                <c:pt idx="15">
                  <c:v>2.0487999994657002E-2</c:v>
                </c:pt>
                <c:pt idx="16">
                  <c:v>2.5104399996052962E-2</c:v>
                </c:pt>
                <c:pt idx="17">
                  <c:v>3.2035600001108833E-2</c:v>
                </c:pt>
                <c:pt idx="18">
                  <c:v>2.4651999992784113E-2</c:v>
                </c:pt>
                <c:pt idx="19">
                  <c:v>2.5461599994741846E-2</c:v>
                </c:pt>
                <c:pt idx="24">
                  <c:v>3.1439599995792378E-2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CC-492E-AE16-F5897012F5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</c:v>
                  </c:pt>
                  <c:pt idx="19">
                    <c:v>3.0000000000000001E-3</c:v>
                  </c:pt>
                  <c:pt idx="20">
                    <c:v>8.9999999999999998E-4</c:v>
                  </c:pt>
                  <c:pt idx="21">
                    <c:v>2.5000000000000001E-3</c:v>
                  </c:pt>
                  <c:pt idx="22">
                    <c:v>1.2999999999999999E-2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</c:v>
                  </c:pt>
                  <c:pt idx="19">
                    <c:v>3.0000000000000001E-3</c:v>
                  </c:pt>
                  <c:pt idx="20">
                    <c:v>8.9999999999999998E-4</c:v>
                  </c:pt>
                  <c:pt idx="21">
                    <c:v>2.5000000000000001E-3</c:v>
                  </c:pt>
                  <c:pt idx="22">
                    <c:v>1.2999999999999999E-2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-10159</c:v>
                </c:pt>
                <c:pt idx="1">
                  <c:v>0</c:v>
                </c:pt>
                <c:pt idx="2">
                  <c:v>0</c:v>
                </c:pt>
                <c:pt idx="3">
                  <c:v>56</c:v>
                </c:pt>
                <c:pt idx="4">
                  <c:v>1313</c:v>
                </c:pt>
                <c:pt idx="5">
                  <c:v>1322</c:v>
                </c:pt>
                <c:pt idx="6">
                  <c:v>1720</c:v>
                </c:pt>
                <c:pt idx="7">
                  <c:v>2459</c:v>
                </c:pt>
                <c:pt idx="8">
                  <c:v>3347</c:v>
                </c:pt>
                <c:pt idx="9">
                  <c:v>4909</c:v>
                </c:pt>
                <c:pt idx="10">
                  <c:v>4946</c:v>
                </c:pt>
                <c:pt idx="11">
                  <c:v>5011</c:v>
                </c:pt>
                <c:pt idx="12">
                  <c:v>5029</c:v>
                </c:pt>
                <c:pt idx="13">
                  <c:v>5038</c:v>
                </c:pt>
                <c:pt idx="14">
                  <c:v>5380</c:v>
                </c:pt>
                <c:pt idx="15">
                  <c:v>9420</c:v>
                </c:pt>
                <c:pt idx="16">
                  <c:v>9421</c:v>
                </c:pt>
                <c:pt idx="17">
                  <c:v>9429</c:v>
                </c:pt>
                <c:pt idx="18">
                  <c:v>9430</c:v>
                </c:pt>
                <c:pt idx="19">
                  <c:v>14394</c:v>
                </c:pt>
                <c:pt idx="20">
                  <c:v>14412</c:v>
                </c:pt>
                <c:pt idx="21">
                  <c:v>14790</c:v>
                </c:pt>
                <c:pt idx="22">
                  <c:v>14800</c:v>
                </c:pt>
                <c:pt idx="23">
                  <c:v>15623</c:v>
                </c:pt>
                <c:pt idx="24">
                  <c:v>16039</c:v>
                </c:pt>
                <c:pt idx="25">
                  <c:v>18877</c:v>
                </c:pt>
                <c:pt idx="26">
                  <c:v>19339</c:v>
                </c:pt>
                <c:pt idx="27">
                  <c:v>19339</c:v>
                </c:pt>
                <c:pt idx="28">
                  <c:v>20199.5</c:v>
                </c:pt>
                <c:pt idx="29">
                  <c:v>21397</c:v>
                </c:pt>
                <c:pt idx="30">
                  <c:v>21813</c:v>
                </c:pt>
                <c:pt idx="31">
                  <c:v>22247</c:v>
                </c:pt>
                <c:pt idx="32">
                  <c:v>22681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0">
                  <c:v>3.0356799994478934E-2</c:v>
                </c:pt>
                <c:pt idx="21">
                  <c:v>3.0656000002636574E-2</c:v>
                </c:pt>
                <c:pt idx="22">
                  <c:v>2.6419999994686805E-2</c:v>
                </c:pt>
                <c:pt idx="23">
                  <c:v>3.3017200003087055E-2</c:v>
                </c:pt>
                <c:pt idx="25">
                  <c:v>3.9682799993897788E-2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CC-492E-AE16-F5897012F5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19">
                    <c:v>3.0000000000000001E-3</c:v>
                  </c:pt>
                  <c:pt idx="20">
                    <c:v>8.9999999999999998E-4</c:v>
                  </c:pt>
                  <c:pt idx="21">
                    <c:v>2.5000000000000001E-3</c:v>
                  </c:pt>
                  <c:pt idx="22">
                    <c:v>1.2999999999999999E-2</c:v>
                  </c:pt>
                  <c:pt idx="23">
                    <c:v>9.7000000000000003E-3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4.0000000000000001E-3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19">
                    <c:v>3.0000000000000001E-3</c:v>
                  </c:pt>
                  <c:pt idx="20">
                    <c:v>8.9999999999999998E-4</c:v>
                  </c:pt>
                  <c:pt idx="21">
                    <c:v>2.5000000000000001E-3</c:v>
                  </c:pt>
                  <c:pt idx="22">
                    <c:v>1.2999999999999999E-2</c:v>
                  </c:pt>
                  <c:pt idx="23">
                    <c:v>9.7000000000000003E-3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4.0000000000000001E-3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-10159</c:v>
                </c:pt>
                <c:pt idx="1">
                  <c:v>0</c:v>
                </c:pt>
                <c:pt idx="2">
                  <c:v>0</c:v>
                </c:pt>
                <c:pt idx="3">
                  <c:v>56</c:v>
                </c:pt>
                <c:pt idx="4">
                  <c:v>1313</c:v>
                </c:pt>
                <c:pt idx="5">
                  <c:v>1322</c:v>
                </c:pt>
                <c:pt idx="6">
                  <c:v>1720</c:v>
                </c:pt>
                <c:pt idx="7">
                  <c:v>2459</c:v>
                </c:pt>
                <c:pt idx="8">
                  <c:v>3347</c:v>
                </c:pt>
                <c:pt idx="9">
                  <c:v>4909</c:v>
                </c:pt>
                <c:pt idx="10">
                  <c:v>4946</c:v>
                </c:pt>
                <c:pt idx="11">
                  <c:v>5011</c:v>
                </c:pt>
                <c:pt idx="12">
                  <c:v>5029</c:v>
                </c:pt>
                <c:pt idx="13">
                  <c:v>5038</c:v>
                </c:pt>
                <c:pt idx="14">
                  <c:v>5380</c:v>
                </c:pt>
                <c:pt idx="15">
                  <c:v>9420</c:v>
                </c:pt>
                <c:pt idx="16">
                  <c:v>9421</c:v>
                </c:pt>
                <c:pt idx="17">
                  <c:v>9429</c:v>
                </c:pt>
                <c:pt idx="18">
                  <c:v>9430</c:v>
                </c:pt>
                <c:pt idx="19">
                  <c:v>14394</c:v>
                </c:pt>
                <c:pt idx="20">
                  <c:v>14412</c:v>
                </c:pt>
                <c:pt idx="21">
                  <c:v>14790</c:v>
                </c:pt>
                <c:pt idx="22">
                  <c:v>14800</c:v>
                </c:pt>
                <c:pt idx="23">
                  <c:v>15623</c:v>
                </c:pt>
                <c:pt idx="24">
                  <c:v>16039</c:v>
                </c:pt>
                <c:pt idx="25">
                  <c:v>18877</c:v>
                </c:pt>
                <c:pt idx="26">
                  <c:v>19339</c:v>
                </c:pt>
                <c:pt idx="27">
                  <c:v>19339</c:v>
                </c:pt>
                <c:pt idx="28">
                  <c:v>20199.5</c:v>
                </c:pt>
                <c:pt idx="29">
                  <c:v>21397</c:v>
                </c:pt>
                <c:pt idx="30">
                  <c:v>21813</c:v>
                </c:pt>
                <c:pt idx="31">
                  <c:v>22247</c:v>
                </c:pt>
                <c:pt idx="32">
                  <c:v>22681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6">
                  <c:v>3.9859600001364015E-2</c:v>
                </c:pt>
                <c:pt idx="27">
                  <c:v>3.988960000424413E-2</c:v>
                </c:pt>
                <c:pt idx="28">
                  <c:v>3.9971799997147173E-2</c:v>
                </c:pt>
                <c:pt idx="29">
                  <c:v>4.3910799991863314E-2</c:v>
                </c:pt>
                <c:pt idx="30">
                  <c:v>4.813319999811938E-2</c:v>
                </c:pt>
                <c:pt idx="31">
                  <c:v>4.9850799994601402E-2</c:v>
                </c:pt>
                <c:pt idx="32">
                  <c:v>5.2168399997754022E-2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CC-492E-AE16-F5897012F5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19">
                    <c:v>3.0000000000000001E-3</c:v>
                  </c:pt>
                  <c:pt idx="20">
                    <c:v>8.9999999999999998E-4</c:v>
                  </c:pt>
                  <c:pt idx="21">
                    <c:v>2.5000000000000001E-3</c:v>
                  </c:pt>
                  <c:pt idx="22">
                    <c:v>1.2999999999999999E-2</c:v>
                  </c:pt>
                  <c:pt idx="23">
                    <c:v>9.7000000000000003E-3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4.0000000000000001E-3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19">
                    <c:v>3.0000000000000001E-3</c:v>
                  </c:pt>
                  <c:pt idx="20">
                    <c:v>8.9999999999999998E-4</c:v>
                  </c:pt>
                  <c:pt idx="21">
                    <c:v>2.5000000000000001E-3</c:v>
                  </c:pt>
                  <c:pt idx="22">
                    <c:v>1.2999999999999999E-2</c:v>
                  </c:pt>
                  <c:pt idx="23">
                    <c:v>9.7000000000000003E-3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4.0000000000000001E-3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-10159</c:v>
                </c:pt>
                <c:pt idx="1">
                  <c:v>0</c:v>
                </c:pt>
                <c:pt idx="2">
                  <c:v>0</c:v>
                </c:pt>
                <c:pt idx="3">
                  <c:v>56</c:v>
                </c:pt>
                <c:pt idx="4">
                  <c:v>1313</c:v>
                </c:pt>
                <c:pt idx="5">
                  <c:v>1322</c:v>
                </c:pt>
                <c:pt idx="6">
                  <c:v>1720</c:v>
                </c:pt>
                <c:pt idx="7">
                  <c:v>2459</c:v>
                </c:pt>
                <c:pt idx="8">
                  <c:v>3347</c:v>
                </c:pt>
                <c:pt idx="9">
                  <c:v>4909</c:v>
                </c:pt>
                <c:pt idx="10">
                  <c:v>4946</c:v>
                </c:pt>
                <c:pt idx="11">
                  <c:v>5011</c:v>
                </c:pt>
                <c:pt idx="12">
                  <c:v>5029</c:v>
                </c:pt>
                <c:pt idx="13">
                  <c:v>5038</c:v>
                </c:pt>
                <c:pt idx="14">
                  <c:v>5380</c:v>
                </c:pt>
                <c:pt idx="15">
                  <c:v>9420</c:v>
                </c:pt>
                <c:pt idx="16">
                  <c:v>9421</c:v>
                </c:pt>
                <c:pt idx="17">
                  <c:v>9429</c:v>
                </c:pt>
                <c:pt idx="18">
                  <c:v>9430</c:v>
                </c:pt>
                <c:pt idx="19">
                  <c:v>14394</c:v>
                </c:pt>
                <c:pt idx="20">
                  <c:v>14412</c:v>
                </c:pt>
                <c:pt idx="21">
                  <c:v>14790</c:v>
                </c:pt>
                <c:pt idx="22">
                  <c:v>14800</c:v>
                </c:pt>
                <c:pt idx="23">
                  <c:v>15623</c:v>
                </c:pt>
                <c:pt idx="24">
                  <c:v>16039</c:v>
                </c:pt>
                <c:pt idx="25">
                  <c:v>18877</c:v>
                </c:pt>
                <c:pt idx="26">
                  <c:v>19339</c:v>
                </c:pt>
                <c:pt idx="27">
                  <c:v>19339</c:v>
                </c:pt>
                <c:pt idx="28">
                  <c:v>20199.5</c:v>
                </c:pt>
                <c:pt idx="29">
                  <c:v>21397</c:v>
                </c:pt>
                <c:pt idx="30">
                  <c:v>21813</c:v>
                </c:pt>
                <c:pt idx="31">
                  <c:v>22247</c:v>
                </c:pt>
                <c:pt idx="32">
                  <c:v>22681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CC-492E-AE16-F5897012F5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19">
                    <c:v>3.0000000000000001E-3</c:v>
                  </c:pt>
                  <c:pt idx="20">
                    <c:v>8.9999999999999998E-4</c:v>
                  </c:pt>
                  <c:pt idx="21">
                    <c:v>2.5000000000000001E-3</c:v>
                  </c:pt>
                  <c:pt idx="22">
                    <c:v>1.2999999999999999E-2</c:v>
                  </c:pt>
                  <c:pt idx="23">
                    <c:v>9.7000000000000003E-3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4.0000000000000001E-3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19">
                    <c:v>3.0000000000000001E-3</c:v>
                  </c:pt>
                  <c:pt idx="20">
                    <c:v>8.9999999999999998E-4</c:v>
                  </c:pt>
                  <c:pt idx="21">
                    <c:v>2.5000000000000001E-3</c:v>
                  </c:pt>
                  <c:pt idx="22">
                    <c:v>1.2999999999999999E-2</c:v>
                  </c:pt>
                  <c:pt idx="23">
                    <c:v>9.7000000000000003E-3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4.0000000000000001E-3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-10159</c:v>
                </c:pt>
                <c:pt idx="1">
                  <c:v>0</c:v>
                </c:pt>
                <c:pt idx="2">
                  <c:v>0</c:v>
                </c:pt>
                <c:pt idx="3">
                  <c:v>56</c:v>
                </c:pt>
                <c:pt idx="4">
                  <c:v>1313</c:v>
                </c:pt>
                <c:pt idx="5">
                  <c:v>1322</c:v>
                </c:pt>
                <c:pt idx="6">
                  <c:v>1720</c:v>
                </c:pt>
                <c:pt idx="7">
                  <c:v>2459</c:v>
                </c:pt>
                <c:pt idx="8">
                  <c:v>3347</c:v>
                </c:pt>
                <c:pt idx="9">
                  <c:v>4909</c:v>
                </c:pt>
                <c:pt idx="10">
                  <c:v>4946</c:v>
                </c:pt>
                <c:pt idx="11">
                  <c:v>5011</c:v>
                </c:pt>
                <c:pt idx="12">
                  <c:v>5029</c:v>
                </c:pt>
                <c:pt idx="13">
                  <c:v>5038</c:v>
                </c:pt>
                <c:pt idx="14">
                  <c:v>5380</c:v>
                </c:pt>
                <c:pt idx="15">
                  <c:v>9420</c:v>
                </c:pt>
                <c:pt idx="16">
                  <c:v>9421</c:v>
                </c:pt>
                <c:pt idx="17">
                  <c:v>9429</c:v>
                </c:pt>
                <c:pt idx="18">
                  <c:v>9430</c:v>
                </c:pt>
                <c:pt idx="19">
                  <c:v>14394</c:v>
                </c:pt>
                <c:pt idx="20">
                  <c:v>14412</c:v>
                </c:pt>
                <c:pt idx="21">
                  <c:v>14790</c:v>
                </c:pt>
                <c:pt idx="22">
                  <c:v>14800</c:v>
                </c:pt>
                <c:pt idx="23">
                  <c:v>15623</c:v>
                </c:pt>
                <c:pt idx="24">
                  <c:v>16039</c:v>
                </c:pt>
                <c:pt idx="25">
                  <c:v>18877</c:v>
                </c:pt>
                <c:pt idx="26">
                  <c:v>19339</c:v>
                </c:pt>
                <c:pt idx="27">
                  <c:v>19339</c:v>
                </c:pt>
                <c:pt idx="28">
                  <c:v>20199.5</c:v>
                </c:pt>
                <c:pt idx="29">
                  <c:v>21397</c:v>
                </c:pt>
                <c:pt idx="30">
                  <c:v>21813</c:v>
                </c:pt>
                <c:pt idx="31">
                  <c:v>22247</c:v>
                </c:pt>
                <c:pt idx="32">
                  <c:v>22681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CC-492E-AE16-F5897012F5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19">
                    <c:v>3.0000000000000001E-3</c:v>
                  </c:pt>
                  <c:pt idx="20">
                    <c:v>8.9999999999999998E-4</c:v>
                  </c:pt>
                  <c:pt idx="21">
                    <c:v>2.5000000000000001E-3</c:v>
                  </c:pt>
                  <c:pt idx="22">
                    <c:v>1.2999999999999999E-2</c:v>
                  </c:pt>
                  <c:pt idx="23">
                    <c:v>9.7000000000000003E-3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4.0000000000000001E-3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19">
                    <c:v>3.0000000000000001E-3</c:v>
                  </c:pt>
                  <c:pt idx="20">
                    <c:v>8.9999999999999998E-4</c:v>
                  </c:pt>
                  <c:pt idx="21">
                    <c:v>2.5000000000000001E-3</c:v>
                  </c:pt>
                  <c:pt idx="22">
                    <c:v>1.2999999999999999E-2</c:v>
                  </c:pt>
                  <c:pt idx="23">
                    <c:v>9.7000000000000003E-3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0</c:v>
                  </c:pt>
                  <c:pt idx="27">
                    <c:v>5.9999999999999995E-4</c:v>
                  </c:pt>
                  <c:pt idx="28">
                    <c:v>4.0000000000000001E-3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-10159</c:v>
                </c:pt>
                <c:pt idx="1">
                  <c:v>0</c:v>
                </c:pt>
                <c:pt idx="2">
                  <c:v>0</c:v>
                </c:pt>
                <c:pt idx="3">
                  <c:v>56</c:v>
                </c:pt>
                <c:pt idx="4">
                  <c:v>1313</c:v>
                </c:pt>
                <c:pt idx="5">
                  <c:v>1322</c:v>
                </c:pt>
                <c:pt idx="6">
                  <c:v>1720</c:v>
                </c:pt>
                <c:pt idx="7">
                  <c:v>2459</c:v>
                </c:pt>
                <c:pt idx="8">
                  <c:v>3347</c:v>
                </c:pt>
                <c:pt idx="9">
                  <c:v>4909</c:v>
                </c:pt>
                <c:pt idx="10">
                  <c:v>4946</c:v>
                </c:pt>
                <c:pt idx="11">
                  <c:v>5011</c:v>
                </c:pt>
                <c:pt idx="12">
                  <c:v>5029</c:v>
                </c:pt>
                <c:pt idx="13">
                  <c:v>5038</c:v>
                </c:pt>
                <c:pt idx="14">
                  <c:v>5380</c:v>
                </c:pt>
                <c:pt idx="15">
                  <c:v>9420</c:v>
                </c:pt>
                <c:pt idx="16">
                  <c:v>9421</c:v>
                </c:pt>
                <c:pt idx="17">
                  <c:v>9429</c:v>
                </c:pt>
                <c:pt idx="18">
                  <c:v>9430</c:v>
                </c:pt>
                <c:pt idx="19">
                  <c:v>14394</c:v>
                </c:pt>
                <c:pt idx="20">
                  <c:v>14412</c:v>
                </c:pt>
                <c:pt idx="21">
                  <c:v>14790</c:v>
                </c:pt>
                <c:pt idx="22">
                  <c:v>14800</c:v>
                </c:pt>
                <c:pt idx="23">
                  <c:v>15623</c:v>
                </c:pt>
                <c:pt idx="24">
                  <c:v>16039</c:v>
                </c:pt>
                <c:pt idx="25">
                  <c:v>18877</c:v>
                </c:pt>
                <c:pt idx="26">
                  <c:v>19339</c:v>
                </c:pt>
                <c:pt idx="27">
                  <c:v>19339</c:v>
                </c:pt>
                <c:pt idx="28">
                  <c:v>20199.5</c:v>
                </c:pt>
                <c:pt idx="29">
                  <c:v>21397</c:v>
                </c:pt>
                <c:pt idx="30">
                  <c:v>21813</c:v>
                </c:pt>
                <c:pt idx="31">
                  <c:v>22247</c:v>
                </c:pt>
                <c:pt idx="32">
                  <c:v>22681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CC-492E-AE16-F5897012F5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-10159</c:v>
                </c:pt>
                <c:pt idx="1">
                  <c:v>0</c:v>
                </c:pt>
                <c:pt idx="2">
                  <c:v>0</c:v>
                </c:pt>
                <c:pt idx="3">
                  <c:v>56</c:v>
                </c:pt>
                <c:pt idx="4">
                  <c:v>1313</c:v>
                </c:pt>
                <c:pt idx="5">
                  <c:v>1322</c:v>
                </c:pt>
                <c:pt idx="6">
                  <c:v>1720</c:v>
                </c:pt>
                <c:pt idx="7">
                  <c:v>2459</c:v>
                </c:pt>
                <c:pt idx="8">
                  <c:v>3347</c:v>
                </c:pt>
                <c:pt idx="9">
                  <c:v>4909</c:v>
                </c:pt>
                <c:pt idx="10">
                  <c:v>4946</c:v>
                </c:pt>
                <c:pt idx="11">
                  <c:v>5011</c:v>
                </c:pt>
                <c:pt idx="12">
                  <c:v>5029</c:v>
                </c:pt>
                <c:pt idx="13">
                  <c:v>5038</c:v>
                </c:pt>
                <c:pt idx="14">
                  <c:v>5380</c:v>
                </c:pt>
                <c:pt idx="15">
                  <c:v>9420</c:v>
                </c:pt>
                <c:pt idx="16">
                  <c:v>9421</c:v>
                </c:pt>
                <c:pt idx="17">
                  <c:v>9429</c:v>
                </c:pt>
                <c:pt idx="18">
                  <c:v>9430</c:v>
                </c:pt>
                <c:pt idx="19">
                  <c:v>14394</c:v>
                </c:pt>
                <c:pt idx="20">
                  <c:v>14412</c:v>
                </c:pt>
                <c:pt idx="21">
                  <c:v>14790</c:v>
                </c:pt>
                <c:pt idx="22">
                  <c:v>14800</c:v>
                </c:pt>
                <c:pt idx="23">
                  <c:v>15623</c:v>
                </c:pt>
                <c:pt idx="24">
                  <c:v>16039</c:v>
                </c:pt>
                <c:pt idx="25">
                  <c:v>18877</c:v>
                </c:pt>
                <c:pt idx="26">
                  <c:v>19339</c:v>
                </c:pt>
                <c:pt idx="27">
                  <c:v>19339</c:v>
                </c:pt>
                <c:pt idx="28">
                  <c:v>20199.5</c:v>
                </c:pt>
                <c:pt idx="29">
                  <c:v>21397</c:v>
                </c:pt>
                <c:pt idx="30">
                  <c:v>21813</c:v>
                </c:pt>
                <c:pt idx="31">
                  <c:v>22247</c:v>
                </c:pt>
                <c:pt idx="32">
                  <c:v>22681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-3.6162653328697808E-2</c:v>
                </c:pt>
                <c:pt idx="1">
                  <c:v>-1.00720506789461E-2</c:v>
                </c:pt>
                <c:pt idx="2">
                  <c:v>-1.00720506789461E-2</c:v>
                </c:pt>
                <c:pt idx="3">
                  <c:v>-9.9282300520747453E-3</c:v>
                </c:pt>
                <c:pt idx="4">
                  <c:v>-6.699970623908794E-3</c:v>
                </c:pt>
                <c:pt idx="5">
                  <c:v>-6.6768565945901828E-3</c:v>
                </c:pt>
                <c:pt idx="6">
                  <c:v>-5.6547028536116243E-3</c:v>
                </c:pt>
                <c:pt idx="7">
                  <c:v>-3.7567842240057072E-3</c:v>
                </c:pt>
                <c:pt idx="8">
                  <c:v>-1.4761999979027926E-3</c:v>
                </c:pt>
                <c:pt idx="9">
                  <c:v>2.5353682016160742E-3</c:v>
                </c:pt>
                <c:pt idx="10">
                  <c:v>2.6303925443703618E-3</c:v>
                </c:pt>
                <c:pt idx="11">
                  <c:v>2.7973272005603275E-3</c:v>
                </c:pt>
                <c:pt idx="12">
                  <c:v>2.8435552591975499E-3</c:v>
                </c:pt>
                <c:pt idx="13">
                  <c:v>2.8666692885161594E-3</c:v>
                </c:pt>
                <c:pt idx="14">
                  <c:v>3.7450024026233642E-3</c:v>
                </c:pt>
                <c:pt idx="15">
                  <c:v>1.4120633341199691E-2</c:v>
                </c:pt>
                <c:pt idx="16">
                  <c:v>1.4123201566679535E-2</c:v>
                </c:pt>
                <c:pt idx="17">
                  <c:v>1.4143747370518302E-2</c:v>
                </c:pt>
                <c:pt idx="18">
                  <c:v>1.4146315595998146E-2</c:v>
                </c:pt>
                <c:pt idx="19">
                  <c:v>2.6894986877951832E-2</c:v>
                </c:pt>
                <c:pt idx="20">
                  <c:v>2.6941214936589047E-2</c:v>
                </c:pt>
                <c:pt idx="21">
                  <c:v>2.7912004167970697E-2</c:v>
                </c:pt>
                <c:pt idx="22">
                  <c:v>2.7937686422769156E-2</c:v>
                </c:pt>
                <c:pt idx="23">
                  <c:v>3.0051335992682102E-2</c:v>
                </c:pt>
                <c:pt idx="24">
                  <c:v>3.1119717792297885E-2</c:v>
                </c:pt>
                <c:pt idx="25">
                  <c:v>3.840834170409977E-2</c:v>
                </c:pt>
                <c:pt idx="26">
                  <c:v>3.9594861875788444E-2</c:v>
                </c:pt>
                <c:pt idx="27">
                  <c:v>3.9594861875788444E-2</c:v>
                </c:pt>
                <c:pt idx="28">
                  <c:v>4.1804819901195604E-2</c:v>
                </c:pt>
                <c:pt idx="29">
                  <c:v>4.488026991331074E-2</c:v>
                </c:pt>
                <c:pt idx="30">
                  <c:v>4.5948651712926523E-2</c:v>
                </c:pt>
                <c:pt idx="31">
                  <c:v>4.7063261571179522E-2</c:v>
                </c:pt>
                <c:pt idx="32">
                  <c:v>4.8177871429432528E-2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CC-492E-AE16-F5897012F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286768"/>
        <c:axId val="1"/>
      </c:scatterChart>
      <c:valAx>
        <c:axId val="578286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286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23162187371207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123824</xdr:colOff>
      <xdr:row>0</xdr:row>
      <xdr:rowOff>0</xdr:rowOff>
    </xdr:from>
    <xdr:to>
      <xdr:col>19</xdr:col>
      <xdr:colOff>285749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561D478-2927-D1CF-2312-879114104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369" TargetMode="External"/><Relationship Id="rId13" Type="http://schemas.openxmlformats.org/officeDocument/2006/relationships/hyperlink" Target="http://www.konkoly.hu/cgi-bin/IBVS?1369" TargetMode="External"/><Relationship Id="rId18" Type="http://schemas.openxmlformats.org/officeDocument/2006/relationships/hyperlink" Target="http://www.konkoly.hu/cgi-bin/IBVS?5287" TargetMode="External"/><Relationship Id="rId3" Type="http://schemas.openxmlformats.org/officeDocument/2006/relationships/hyperlink" Target="http://www.konkoly.hu/cgi-bin/IBVS?1369" TargetMode="External"/><Relationship Id="rId21" Type="http://schemas.openxmlformats.org/officeDocument/2006/relationships/hyperlink" Target="http://www.konkoly.hu/cgi-bin/IBVS?6011" TargetMode="External"/><Relationship Id="rId7" Type="http://schemas.openxmlformats.org/officeDocument/2006/relationships/hyperlink" Target="http://www.konkoly.hu/cgi-bin/IBVS?1369" TargetMode="External"/><Relationship Id="rId12" Type="http://schemas.openxmlformats.org/officeDocument/2006/relationships/hyperlink" Target="http://www.konkoly.hu/cgi-bin/IBVS?1369" TargetMode="External"/><Relationship Id="rId17" Type="http://schemas.openxmlformats.org/officeDocument/2006/relationships/hyperlink" Target="http://www.konkoly.hu/cgi-bin/IBVS?4888" TargetMode="External"/><Relationship Id="rId2" Type="http://schemas.openxmlformats.org/officeDocument/2006/relationships/hyperlink" Target="http://www.konkoly.hu/cgi-bin/IBVS?1369" TargetMode="External"/><Relationship Id="rId16" Type="http://schemas.openxmlformats.org/officeDocument/2006/relationships/hyperlink" Target="http://www.konkoly.hu/cgi-bin/IBVS?4888" TargetMode="External"/><Relationship Id="rId20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369" TargetMode="External"/><Relationship Id="rId11" Type="http://schemas.openxmlformats.org/officeDocument/2006/relationships/hyperlink" Target="http://www.konkoly.hu/cgi-bin/IBVS?1369" TargetMode="External"/><Relationship Id="rId5" Type="http://schemas.openxmlformats.org/officeDocument/2006/relationships/hyperlink" Target="http://www.konkoly.hu/cgi-bin/IBVS?1369" TargetMode="External"/><Relationship Id="rId15" Type="http://schemas.openxmlformats.org/officeDocument/2006/relationships/hyperlink" Target="http://www.konkoly.hu/cgi-bin/IBVS?1369" TargetMode="External"/><Relationship Id="rId10" Type="http://schemas.openxmlformats.org/officeDocument/2006/relationships/hyperlink" Target="http://www.konkoly.hu/cgi-bin/IBVS?1369" TargetMode="External"/><Relationship Id="rId19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1369" TargetMode="External"/><Relationship Id="rId9" Type="http://schemas.openxmlformats.org/officeDocument/2006/relationships/hyperlink" Target="http://www.konkoly.hu/cgi-bin/IBVS?1369" TargetMode="External"/><Relationship Id="rId14" Type="http://schemas.openxmlformats.org/officeDocument/2006/relationships/hyperlink" Target="http://www.konkoly.hu/cgi-bin/IBVS?13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4"/>
  <sheetViews>
    <sheetView tabSelected="1" workbookViewId="0">
      <pane xSplit="14" ySplit="22" topLeftCell="O34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42578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26</v>
      </c>
      <c r="B2" s="8" t="s">
        <v>37</v>
      </c>
      <c r="C2" t="s">
        <v>39</v>
      </c>
    </row>
    <row r="3" spans="1:6" x14ac:dyDescent="0.2">
      <c r="C3" t="s">
        <v>40</v>
      </c>
    </row>
    <row r="4" spans="1:6" ht="14.25" thickTop="1" thickBot="1" x14ac:dyDescent="0.25">
      <c r="A4" s="5" t="s">
        <v>2</v>
      </c>
      <c r="C4" s="2">
        <v>37882.531000000003</v>
      </c>
      <c r="D4" s="3">
        <v>0.88938360000000005</v>
      </c>
    </row>
    <row r="5" spans="1:6" ht="13.5" thickTop="1" x14ac:dyDescent="0.2">
      <c r="A5" s="9" t="s">
        <v>42</v>
      </c>
      <c r="B5" s="10"/>
      <c r="C5" s="11">
        <v>-9.5</v>
      </c>
      <c r="D5" s="10" t="s">
        <v>43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37882.531000000003</v>
      </c>
    </row>
    <row r="8" spans="1:6" x14ac:dyDescent="0.2">
      <c r="A8" t="s">
        <v>5</v>
      </c>
      <c r="C8">
        <f>+D4</f>
        <v>0.88938360000000005</v>
      </c>
    </row>
    <row r="9" spans="1:6" x14ac:dyDescent="0.2">
      <c r="A9" s="25" t="s">
        <v>47</v>
      </c>
      <c r="B9" s="26">
        <v>21</v>
      </c>
      <c r="C9" s="14" t="str">
        <f>"F"&amp;B9</f>
        <v>F21</v>
      </c>
      <c r="D9" s="15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12">
        <f ca="1">INTERCEPT(INDIRECT($D$9):G992,INDIRECT($C$9):F992)</f>
        <v>-1.00720506789461E-2</v>
      </c>
      <c r="D11" s="13"/>
      <c r="E11" s="10"/>
    </row>
    <row r="12" spans="1:6" x14ac:dyDescent="0.2">
      <c r="A12" s="10" t="s">
        <v>19</v>
      </c>
      <c r="B12" s="10"/>
      <c r="C12" s="12">
        <f ca="1">SLOPE(INDIRECT($D$9):G992,INDIRECT($C$9):F992)</f>
        <v>2.5682254798456252E-6</v>
      </c>
      <c r="D12" s="13"/>
      <c r="E12" s="10"/>
    </row>
    <row r="13" spans="1:6" x14ac:dyDescent="0.2">
      <c r="A13" s="10" t="s">
        <v>21</v>
      </c>
      <c r="B13" s="10"/>
      <c r="C13" s="13" t="s">
        <v>16</v>
      </c>
    </row>
    <row r="14" spans="1:6" x14ac:dyDescent="0.2">
      <c r="A14" s="10"/>
      <c r="B14" s="10"/>
      <c r="C14" s="10"/>
    </row>
    <row r="15" spans="1:6" x14ac:dyDescent="0.2">
      <c r="A15" s="16" t="s">
        <v>20</v>
      </c>
      <c r="B15" s="10"/>
      <c r="C15" s="17">
        <f ca="1">(C7+C11)+(C8+C12)*INT(MAX(F21:F3533))</f>
        <v>58054.688609471428</v>
      </c>
      <c r="E15" s="18" t="s">
        <v>48</v>
      </c>
      <c r="F15" s="11">
        <v>1</v>
      </c>
    </row>
    <row r="16" spans="1:6" x14ac:dyDescent="0.2">
      <c r="A16" s="20" t="s">
        <v>6</v>
      </c>
      <c r="B16" s="10"/>
      <c r="C16" s="21">
        <f ca="1">+C8+C12</f>
        <v>0.88938616822547989</v>
      </c>
      <c r="E16" s="18" t="s">
        <v>44</v>
      </c>
      <c r="F16" s="19">
        <f ca="1">NOW()+15018.5+$C$5/24</f>
        <v>60320.785163657405</v>
      </c>
    </row>
    <row r="17" spans="1:20" ht="13.5" thickBot="1" x14ac:dyDescent="0.25">
      <c r="A17" s="18" t="s">
        <v>36</v>
      </c>
      <c r="B17" s="10"/>
      <c r="C17" s="10">
        <f>COUNT(C21:C2191)</f>
        <v>33</v>
      </c>
      <c r="E17" s="18" t="s">
        <v>49</v>
      </c>
      <c r="F17" s="19">
        <f ca="1">ROUND(2*(F16-$C$7)/$C$8,0)/2+F15</f>
        <v>25230</v>
      </c>
    </row>
    <row r="18" spans="1:20" ht="14.25" thickTop="1" thickBot="1" x14ac:dyDescent="0.25">
      <c r="A18" s="20" t="s">
        <v>7</v>
      </c>
      <c r="B18" s="10"/>
      <c r="C18" s="23">
        <f ca="1">+C15</f>
        <v>58054.688609471428</v>
      </c>
      <c r="D18" s="24">
        <f ca="1">+C16</f>
        <v>0.88938616822547989</v>
      </c>
      <c r="E18" s="18" t="s">
        <v>45</v>
      </c>
      <c r="F18" s="15">
        <f ca="1">ROUND(2*(F16-$C$15)/$C$16,0)/2+F15</f>
        <v>2549</v>
      </c>
    </row>
    <row r="19" spans="1:20" ht="13.5" thickTop="1" x14ac:dyDescent="0.2">
      <c r="E19" s="18" t="s">
        <v>46</v>
      </c>
      <c r="F19" s="22">
        <f ca="1">+$C$15+$C$16*F18-15018.5-$C$5/24</f>
        <v>45303.629785611512</v>
      </c>
    </row>
    <row r="20" spans="1:20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53</v>
      </c>
      <c r="I20" s="7" t="s">
        <v>66</v>
      </c>
      <c r="J20" s="7" t="s">
        <v>61</v>
      </c>
      <c r="K20" s="7" t="s">
        <v>59</v>
      </c>
      <c r="L20" s="7" t="s">
        <v>168</v>
      </c>
      <c r="M20" s="7" t="s">
        <v>169</v>
      </c>
      <c r="N20" s="7" t="s">
        <v>170</v>
      </c>
      <c r="O20" s="7" t="s">
        <v>25</v>
      </c>
      <c r="P20" s="6" t="s">
        <v>24</v>
      </c>
      <c r="Q20" s="4" t="s">
        <v>17</v>
      </c>
    </row>
    <row r="21" spans="1:20" x14ac:dyDescent="0.2">
      <c r="A21" s="30" t="s">
        <v>41</v>
      </c>
      <c r="B21" s="31" t="s">
        <v>52</v>
      </c>
      <c r="C21" s="30">
        <v>28847.27</v>
      </c>
      <c r="D21" s="30" t="s">
        <v>53</v>
      </c>
      <c r="E21" s="27">
        <f t="shared" ref="E21:E37" si="0">+(C21-C$7)/C$8</f>
        <v>-10159.014625410229</v>
      </c>
      <c r="F21" s="27">
        <f t="shared" ref="F21:F37" si="1">ROUND(2*E21,0)/2</f>
        <v>-10159</v>
      </c>
      <c r="G21" s="27">
        <f t="shared" ref="G21:G37" si="2">+C21-(C$7+F21*C$8)</f>
        <v>-1.3007600002310937E-2</v>
      </c>
      <c r="H21" s="27">
        <f>G21</f>
        <v>-1.3007600002310937E-2</v>
      </c>
      <c r="I21" s="27"/>
      <c r="K21" s="27"/>
      <c r="L21" s="27"/>
      <c r="M21" s="27"/>
      <c r="N21" s="27"/>
      <c r="O21" s="27">
        <f t="shared" ref="O21:O37" ca="1" si="3">+C$11+C$12*F21</f>
        <v>-3.6162653328697808E-2</v>
      </c>
      <c r="P21" s="27"/>
      <c r="Q21" s="28">
        <f t="shared" ref="Q21:Q37" si="4">+C21-15018.5</f>
        <v>13828.77</v>
      </c>
      <c r="R21" s="27" t="s">
        <v>53</v>
      </c>
      <c r="S21" s="27"/>
      <c r="T21" s="27"/>
    </row>
    <row r="22" spans="1:20" x14ac:dyDescent="0.2">
      <c r="A22" s="27" t="s">
        <v>41</v>
      </c>
      <c r="B22" s="27"/>
      <c r="C22" s="29">
        <v>37882.480000000003</v>
      </c>
      <c r="D22" s="29"/>
      <c r="E22" s="27">
        <f t="shared" si="0"/>
        <v>-5.734308570506149E-2</v>
      </c>
      <c r="F22" s="27">
        <f t="shared" si="1"/>
        <v>0</v>
      </c>
      <c r="G22" s="27">
        <f t="shared" si="2"/>
        <v>-5.0999999999476131E-2</v>
      </c>
      <c r="H22" s="27">
        <f>G22</f>
        <v>-5.0999999999476131E-2</v>
      </c>
      <c r="I22" s="27"/>
      <c r="K22" s="27"/>
      <c r="L22" s="27"/>
      <c r="M22" s="27"/>
      <c r="N22" s="27"/>
      <c r="O22" s="27">
        <f t="shared" ca="1" si="3"/>
        <v>-1.00720506789461E-2</v>
      </c>
      <c r="P22" s="27"/>
      <c r="Q22" s="28">
        <f t="shared" si="4"/>
        <v>22863.980000000003</v>
      </c>
      <c r="R22" s="27" t="s">
        <v>53</v>
      </c>
      <c r="S22" s="27"/>
      <c r="T22" s="27"/>
    </row>
    <row r="23" spans="1:20" x14ac:dyDescent="0.2">
      <c r="A23" s="27" t="s">
        <v>14</v>
      </c>
      <c r="B23" s="27"/>
      <c r="C23" s="29">
        <v>37882.531000000003</v>
      </c>
      <c r="D23" s="29" t="s">
        <v>16</v>
      </c>
      <c r="E23" s="27">
        <f t="shared" si="0"/>
        <v>0</v>
      </c>
      <c r="F23" s="27">
        <f t="shared" si="1"/>
        <v>0</v>
      </c>
      <c r="G23" s="27">
        <f t="shared" si="2"/>
        <v>0</v>
      </c>
      <c r="I23" s="27">
        <f>+G23</f>
        <v>0</v>
      </c>
      <c r="J23" s="27"/>
      <c r="K23" s="27"/>
      <c r="L23" s="27"/>
      <c r="M23" s="27"/>
      <c r="N23" s="27"/>
      <c r="O23" s="27">
        <f t="shared" ca="1" si="3"/>
        <v>-1.00720506789461E-2</v>
      </c>
      <c r="P23" s="27"/>
      <c r="Q23" s="28">
        <f t="shared" si="4"/>
        <v>22864.031000000003</v>
      </c>
      <c r="R23" s="27"/>
      <c r="S23" s="27"/>
      <c r="T23" s="27"/>
    </row>
    <row r="24" spans="1:20" x14ac:dyDescent="0.2">
      <c r="A24" s="27" t="s">
        <v>41</v>
      </c>
      <c r="B24" s="27"/>
      <c r="C24" s="29">
        <v>37932.35</v>
      </c>
      <c r="D24" s="29"/>
      <c r="E24" s="27">
        <f t="shared" si="0"/>
        <v>56.015199740579725</v>
      </c>
      <c r="F24" s="27">
        <f t="shared" si="1"/>
        <v>56</v>
      </c>
      <c r="G24" s="27">
        <f t="shared" si="2"/>
        <v>1.3518399995518848E-2</v>
      </c>
      <c r="H24" s="27">
        <f t="shared" ref="H24:H35" si="5">G24</f>
        <v>1.3518399995518848E-2</v>
      </c>
      <c r="I24" s="27"/>
      <c r="K24" s="27"/>
      <c r="L24" s="27"/>
      <c r="M24" s="27"/>
      <c r="N24" s="27"/>
      <c r="O24" s="27">
        <f t="shared" ca="1" si="3"/>
        <v>-9.9282300520747453E-3</v>
      </c>
      <c r="P24" s="27"/>
      <c r="Q24" s="28">
        <f t="shared" si="4"/>
        <v>22913.85</v>
      </c>
      <c r="R24" s="27" t="s">
        <v>53</v>
      </c>
      <c r="S24" s="27"/>
      <c r="T24" s="27"/>
    </row>
    <row r="25" spans="1:20" x14ac:dyDescent="0.2">
      <c r="A25" s="27" t="s">
        <v>41</v>
      </c>
      <c r="B25" s="27"/>
      <c r="C25" s="29">
        <v>39050.29</v>
      </c>
      <c r="D25" s="29"/>
      <c r="E25" s="27">
        <f t="shared" si="0"/>
        <v>1312.9981258930322</v>
      </c>
      <c r="F25" s="27">
        <f t="shared" si="1"/>
        <v>1313</v>
      </c>
      <c r="G25" s="27">
        <f t="shared" si="2"/>
        <v>-1.6668000025674701E-3</v>
      </c>
      <c r="H25" s="27">
        <f t="shared" si="5"/>
        <v>-1.6668000025674701E-3</v>
      </c>
      <c r="I25" s="27"/>
      <c r="K25" s="27"/>
      <c r="L25" s="27"/>
      <c r="M25" s="27"/>
      <c r="N25" s="27"/>
      <c r="O25" s="27">
        <f t="shared" ca="1" si="3"/>
        <v>-6.699970623908794E-3</v>
      </c>
      <c r="P25" s="27"/>
      <c r="Q25" s="28">
        <f t="shared" si="4"/>
        <v>24031.79</v>
      </c>
      <c r="R25" s="27" t="s">
        <v>53</v>
      </c>
      <c r="S25" s="27"/>
      <c r="T25" s="27"/>
    </row>
    <row r="26" spans="1:20" x14ac:dyDescent="0.2">
      <c r="A26" s="27" t="s">
        <v>41</v>
      </c>
      <c r="B26" s="27"/>
      <c r="C26" s="29">
        <v>39058.26</v>
      </c>
      <c r="D26" s="29"/>
      <c r="E26" s="27">
        <f t="shared" si="0"/>
        <v>1321.9593885023282</v>
      </c>
      <c r="F26" s="27">
        <f t="shared" si="1"/>
        <v>1322</v>
      </c>
      <c r="G26" s="27">
        <f t="shared" si="2"/>
        <v>-3.6119199998211116E-2</v>
      </c>
      <c r="H26" s="27">
        <f t="shared" si="5"/>
        <v>-3.6119199998211116E-2</v>
      </c>
      <c r="I26" s="27"/>
      <c r="K26" s="27"/>
      <c r="L26" s="27"/>
      <c r="M26" s="27"/>
      <c r="N26" s="27"/>
      <c r="O26" s="27">
        <f t="shared" ca="1" si="3"/>
        <v>-6.6768565945901828E-3</v>
      </c>
      <c r="P26" s="27"/>
      <c r="Q26" s="28">
        <f t="shared" si="4"/>
        <v>24039.760000000002</v>
      </c>
      <c r="R26" s="27" t="s">
        <v>53</v>
      </c>
      <c r="S26" s="27"/>
      <c r="T26" s="27"/>
    </row>
    <row r="27" spans="1:20" x14ac:dyDescent="0.2">
      <c r="A27" s="27" t="s">
        <v>41</v>
      </c>
      <c r="B27" s="27"/>
      <c r="C27" s="29">
        <v>39412.300000000003</v>
      </c>
      <c r="D27" s="29"/>
      <c r="E27" s="27">
        <f t="shared" si="0"/>
        <v>1720.0328407224961</v>
      </c>
      <c r="F27" s="27">
        <f t="shared" si="1"/>
        <v>1720</v>
      </c>
      <c r="G27" s="27">
        <f t="shared" si="2"/>
        <v>2.920799999992596E-2</v>
      </c>
      <c r="H27" s="27">
        <f t="shared" si="5"/>
        <v>2.920799999992596E-2</v>
      </c>
      <c r="I27" s="27"/>
      <c r="K27" s="27"/>
      <c r="L27" s="27"/>
      <c r="M27" s="27"/>
      <c r="N27" s="27"/>
      <c r="O27" s="27">
        <f t="shared" ca="1" si="3"/>
        <v>-5.6547028536116243E-3</v>
      </c>
      <c r="P27" s="27"/>
      <c r="Q27" s="28">
        <f t="shared" si="4"/>
        <v>24393.800000000003</v>
      </c>
      <c r="R27" s="27" t="s">
        <v>53</v>
      </c>
      <c r="S27" s="27"/>
      <c r="T27" s="27"/>
    </row>
    <row r="28" spans="1:20" x14ac:dyDescent="0.2">
      <c r="A28" s="27" t="s">
        <v>41</v>
      </c>
      <c r="B28" s="27"/>
      <c r="C28" s="29">
        <v>40069.519999999997</v>
      </c>
      <c r="D28" s="29"/>
      <c r="E28" s="27">
        <f t="shared" si="0"/>
        <v>2458.9940718493053</v>
      </c>
      <c r="F28" s="27">
        <f t="shared" si="1"/>
        <v>2459</v>
      </c>
      <c r="G28" s="27">
        <f t="shared" si="2"/>
        <v>-5.2724000051966868E-3</v>
      </c>
      <c r="H28" s="27">
        <f t="shared" si="5"/>
        <v>-5.2724000051966868E-3</v>
      </c>
      <c r="I28" s="27"/>
      <c r="K28" s="27"/>
      <c r="L28" s="27"/>
      <c r="M28" s="27"/>
      <c r="N28" s="27"/>
      <c r="O28" s="27">
        <f t="shared" ca="1" si="3"/>
        <v>-3.7567842240057072E-3</v>
      </c>
      <c r="P28" s="27"/>
      <c r="Q28" s="28">
        <f t="shared" si="4"/>
        <v>25051.019999999997</v>
      </c>
      <c r="R28" s="27" t="s">
        <v>53</v>
      </c>
      <c r="S28" s="27"/>
      <c r="T28" s="27"/>
    </row>
    <row r="29" spans="1:20" x14ac:dyDescent="0.2">
      <c r="A29" s="27" t="s">
        <v>41</v>
      </c>
      <c r="B29" s="27"/>
      <c r="C29" s="29">
        <v>40859.33</v>
      </c>
      <c r="D29" s="29"/>
      <c r="E29" s="27">
        <f t="shared" si="0"/>
        <v>3347.0360820685237</v>
      </c>
      <c r="F29" s="27">
        <f t="shared" si="1"/>
        <v>3347</v>
      </c>
      <c r="G29" s="27">
        <f t="shared" si="2"/>
        <v>3.2090799999423325E-2</v>
      </c>
      <c r="H29" s="27">
        <f t="shared" si="5"/>
        <v>3.2090799999423325E-2</v>
      </c>
      <c r="I29" s="27"/>
      <c r="K29" s="27"/>
      <c r="L29" s="27"/>
      <c r="M29" s="27"/>
      <c r="N29" s="27"/>
      <c r="O29" s="27">
        <f t="shared" ca="1" si="3"/>
        <v>-1.4761999979027926E-3</v>
      </c>
      <c r="P29" s="27"/>
      <c r="Q29" s="28">
        <f t="shared" si="4"/>
        <v>25840.83</v>
      </c>
      <c r="R29" s="27" t="s">
        <v>53</v>
      </c>
      <c r="S29" s="27"/>
      <c r="T29" s="27"/>
    </row>
    <row r="30" spans="1:20" x14ac:dyDescent="0.2">
      <c r="A30" s="27" t="s">
        <v>41</v>
      </c>
      <c r="B30" s="27"/>
      <c r="C30" s="29">
        <v>42248.5</v>
      </c>
      <c r="D30" s="29"/>
      <c r="E30" s="27">
        <f t="shared" si="0"/>
        <v>4908.9830304943753</v>
      </c>
      <c r="F30" s="27">
        <f t="shared" si="1"/>
        <v>4909</v>
      </c>
      <c r="G30" s="27">
        <f t="shared" si="2"/>
        <v>-1.509240000450518E-2</v>
      </c>
      <c r="H30" s="27">
        <f t="shared" si="5"/>
        <v>-1.509240000450518E-2</v>
      </c>
      <c r="I30" s="27"/>
      <c r="K30" s="27"/>
      <c r="L30" s="27"/>
      <c r="M30" s="27"/>
      <c r="N30" s="27"/>
      <c r="O30" s="27">
        <f t="shared" ca="1" si="3"/>
        <v>2.5353682016160742E-3</v>
      </c>
      <c r="P30" s="27"/>
      <c r="Q30" s="28">
        <f t="shared" si="4"/>
        <v>27230</v>
      </c>
      <c r="R30" s="27" t="s">
        <v>53</v>
      </c>
      <c r="S30" s="27"/>
      <c r="T30" s="27"/>
    </row>
    <row r="31" spans="1:20" x14ac:dyDescent="0.2">
      <c r="A31" s="27" t="s">
        <v>41</v>
      </c>
      <c r="B31" s="27"/>
      <c r="C31" s="29">
        <v>42281.43</v>
      </c>
      <c r="D31" s="29"/>
      <c r="E31" s="27">
        <f t="shared" si="0"/>
        <v>4946.0086738725531</v>
      </c>
      <c r="F31" s="27">
        <f t="shared" si="1"/>
        <v>4946</v>
      </c>
      <c r="G31" s="27">
        <f t="shared" si="2"/>
        <v>7.714399995165877E-3</v>
      </c>
      <c r="H31" s="27">
        <f t="shared" si="5"/>
        <v>7.714399995165877E-3</v>
      </c>
      <c r="I31" s="27"/>
      <c r="K31" s="27"/>
      <c r="L31" s="27"/>
      <c r="M31" s="27"/>
      <c r="N31" s="27"/>
      <c r="O31" s="27">
        <f t="shared" ca="1" si="3"/>
        <v>2.6303925443703618E-3</v>
      </c>
      <c r="P31" s="27"/>
      <c r="Q31" s="28">
        <f t="shared" si="4"/>
        <v>27262.93</v>
      </c>
      <c r="R31" s="27" t="s">
        <v>53</v>
      </c>
      <c r="S31" s="27"/>
      <c r="T31" s="27"/>
    </row>
    <row r="32" spans="1:20" x14ac:dyDescent="0.2">
      <c r="A32" s="27" t="s">
        <v>41</v>
      </c>
      <c r="B32" s="27"/>
      <c r="C32" s="29">
        <v>42339.27</v>
      </c>
      <c r="D32" s="29"/>
      <c r="E32" s="27">
        <f t="shared" si="0"/>
        <v>5011.0424793081338</v>
      </c>
      <c r="F32" s="27">
        <f t="shared" si="1"/>
        <v>5011</v>
      </c>
      <c r="G32" s="27">
        <f t="shared" si="2"/>
        <v>3.7780399994517211E-2</v>
      </c>
      <c r="H32" s="27">
        <f t="shared" si="5"/>
        <v>3.7780399994517211E-2</v>
      </c>
      <c r="I32" s="27"/>
      <c r="K32" s="27"/>
      <c r="L32" s="27"/>
      <c r="M32" s="27"/>
      <c r="N32" s="27"/>
      <c r="O32" s="27">
        <f t="shared" ca="1" si="3"/>
        <v>2.7973272005603275E-3</v>
      </c>
      <c r="P32" s="27"/>
      <c r="Q32" s="28">
        <f t="shared" si="4"/>
        <v>27320.769999999997</v>
      </c>
      <c r="R32" s="27" t="s">
        <v>53</v>
      </c>
      <c r="S32" s="27"/>
      <c r="T32" s="27"/>
    </row>
    <row r="33" spans="1:31" x14ac:dyDescent="0.2">
      <c r="A33" s="27" t="s">
        <v>41</v>
      </c>
      <c r="B33" s="27"/>
      <c r="C33" s="29">
        <v>42355.22</v>
      </c>
      <c r="D33" s="29"/>
      <c r="E33" s="27">
        <f t="shared" si="0"/>
        <v>5028.9762482690239</v>
      </c>
      <c r="F33" s="27">
        <f t="shared" si="1"/>
        <v>5029</v>
      </c>
      <c r="G33" s="27">
        <f t="shared" si="2"/>
        <v>-2.112440000200877E-2</v>
      </c>
      <c r="H33" s="27">
        <f t="shared" si="5"/>
        <v>-2.112440000200877E-2</v>
      </c>
      <c r="I33" s="27"/>
      <c r="K33" s="27"/>
      <c r="L33" s="27"/>
      <c r="M33" s="27"/>
      <c r="N33" s="27"/>
      <c r="O33" s="27">
        <f t="shared" ca="1" si="3"/>
        <v>2.8435552591975499E-3</v>
      </c>
      <c r="P33" s="27"/>
      <c r="Q33" s="28">
        <f t="shared" si="4"/>
        <v>27336.720000000001</v>
      </c>
      <c r="R33" s="27" t="s">
        <v>53</v>
      </c>
      <c r="S33" s="27"/>
      <c r="T33" s="27"/>
    </row>
    <row r="34" spans="1:31" x14ac:dyDescent="0.2">
      <c r="A34" s="27" t="s">
        <v>41</v>
      </c>
      <c r="B34" s="27"/>
      <c r="C34" s="29">
        <v>42363.17</v>
      </c>
      <c r="D34" s="29"/>
      <c r="E34" s="27">
        <f t="shared" si="0"/>
        <v>5037.9150233937253</v>
      </c>
      <c r="F34" s="27">
        <f t="shared" si="1"/>
        <v>5038</v>
      </c>
      <c r="G34" s="27">
        <f t="shared" si="2"/>
        <v>-7.5576800001726951E-2</v>
      </c>
      <c r="H34" s="27">
        <f t="shared" si="5"/>
        <v>-7.5576800001726951E-2</v>
      </c>
      <c r="I34" s="27"/>
      <c r="K34" s="27"/>
      <c r="L34" s="27"/>
      <c r="M34" s="27"/>
      <c r="N34" s="27"/>
      <c r="O34" s="27">
        <f t="shared" ca="1" si="3"/>
        <v>2.8666692885161594E-3</v>
      </c>
      <c r="P34" s="27"/>
      <c r="Q34" s="28">
        <f t="shared" si="4"/>
        <v>27344.67</v>
      </c>
      <c r="R34" s="27" t="s">
        <v>53</v>
      </c>
      <c r="S34" s="27"/>
      <c r="T34" s="27"/>
    </row>
    <row r="35" spans="1:31" x14ac:dyDescent="0.2">
      <c r="A35" s="27" t="s">
        <v>41</v>
      </c>
      <c r="B35" s="27"/>
      <c r="C35" s="29">
        <v>42667.38</v>
      </c>
      <c r="D35" s="29"/>
      <c r="E35" s="27">
        <f t="shared" si="0"/>
        <v>5379.960907756782</v>
      </c>
      <c r="F35" s="27">
        <f t="shared" si="1"/>
        <v>5380</v>
      </c>
      <c r="G35" s="27">
        <f t="shared" si="2"/>
        <v>-3.4768000004987698E-2</v>
      </c>
      <c r="H35" s="27">
        <f t="shared" si="5"/>
        <v>-3.4768000004987698E-2</v>
      </c>
      <c r="I35" s="27"/>
      <c r="K35" s="27"/>
      <c r="L35" s="27"/>
      <c r="M35" s="27"/>
      <c r="N35" s="27"/>
      <c r="O35" s="27">
        <f t="shared" ca="1" si="3"/>
        <v>3.7450024026233642E-3</v>
      </c>
      <c r="P35" s="27"/>
      <c r="Q35" s="28">
        <f t="shared" si="4"/>
        <v>27648.879999999997</v>
      </c>
      <c r="R35" s="27" t="s">
        <v>53</v>
      </c>
      <c r="S35" s="27"/>
      <c r="T35" s="27"/>
    </row>
    <row r="36" spans="1:31" x14ac:dyDescent="0.2">
      <c r="A36" s="27" t="s">
        <v>28</v>
      </c>
      <c r="B36" s="27"/>
      <c r="C36" s="29">
        <v>46260.544999999998</v>
      </c>
      <c r="D36" s="29"/>
      <c r="E36" s="27">
        <f t="shared" si="0"/>
        <v>9420.0230361792092</v>
      </c>
      <c r="F36" s="27">
        <f t="shared" si="1"/>
        <v>9420</v>
      </c>
      <c r="G36" s="27">
        <f t="shared" si="2"/>
        <v>2.0487999994657002E-2</v>
      </c>
      <c r="H36" s="27"/>
      <c r="I36" s="27">
        <f>G36</f>
        <v>2.0487999994657002E-2</v>
      </c>
      <c r="J36" s="27"/>
      <c r="K36" s="27"/>
      <c r="L36" s="27"/>
      <c r="M36" s="27"/>
      <c r="N36" s="27"/>
      <c r="O36" s="27">
        <f t="shared" ca="1" si="3"/>
        <v>1.4120633341199691E-2</v>
      </c>
      <c r="P36" s="27"/>
      <c r="Q36" s="28">
        <f t="shared" si="4"/>
        <v>31242.044999999998</v>
      </c>
      <c r="R36" s="27"/>
      <c r="S36" s="27"/>
      <c r="T36" s="27"/>
      <c r="AA36">
        <v>8</v>
      </c>
      <c r="AC36" t="s">
        <v>27</v>
      </c>
      <c r="AE36" t="s">
        <v>29</v>
      </c>
    </row>
    <row r="37" spans="1:31" x14ac:dyDescent="0.2">
      <c r="A37" s="27" t="s">
        <v>28</v>
      </c>
      <c r="B37" s="27"/>
      <c r="C37" s="29">
        <v>46261.438999999998</v>
      </c>
      <c r="D37" s="29"/>
      <c r="E37" s="27">
        <f t="shared" si="0"/>
        <v>9421.0282267404018</v>
      </c>
      <c r="F37" s="27">
        <f t="shared" si="1"/>
        <v>9421</v>
      </c>
      <c r="G37" s="27">
        <f t="shared" si="2"/>
        <v>2.5104399996052962E-2</v>
      </c>
      <c r="H37" s="27"/>
      <c r="I37" s="27">
        <f>G37</f>
        <v>2.5104399996052962E-2</v>
      </c>
      <c r="J37" s="27"/>
      <c r="K37" s="27"/>
      <c r="L37" s="27"/>
      <c r="M37" s="27"/>
      <c r="N37" s="27"/>
      <c r="O37" s="27">
        <f t="shared" ca="1" si="3"/>
        <v>1.4123201566679535E-2</v>
      </c>
      <c r="P37" s="27"/>
      <c r="Q37" s="28">
        <f t="shared" si="4"/>
        <v>31242.938999999998</v>
      </c>
      <c r="R37" s="27"/>
      <c r="S37" s="27"/>
      <c r="T37" s="27"/>
      <c r="AA37">
        <v>5</v>
      </c>
      <c r="AC37" t="s">
        <v>27</v>
      </c>
      <c r="AE37" t="s">
        <v>29</v>
      </c>
    </row>
    <row r="38" spans="1:31" x14ac:dyDescent="0.2">
      <c r="A38" s="27" t="s">
        <v>28</v>
      </c>
      <c r="B38" s="27"/>
      <c r="C38" s="29">
        <v>46268.561000000002</v>
      </c>
      <c r="D38" s="29"/>
      <c r="E38" s="27">
        <f t="shared" ref="E38:E52" si="6">+(C38-C$7)/C$8</f>
        <v>9429.0360200030646</v>
      </c>
      <c r="F38" s="27">
        <f t="shared" ref="F38:F53" si="7">ROUND(2*E38,0)/2</f>
        <v>9429</v>
      </c>
      <c r="G38" s="27">
        <f t="shared" ref="G38:G52" si="8">+C38-(C$7+F38*C$8)</f>
        <v>3.2035600001108833E-2</v>
      </c>
      <c r="H38" s="27"/>
      <c r="I38" s="27">
        <f>G38</f>
        <v>3.2035600001108833E-2</v>
      </c>
      <c r="J38" s="27"/>
      <c r="K38" s="27"/>
      <c r="L38" s="27"/>
      <c r="M38" s="27"/>
      <c r="N38" s="27"/>
      <c r="O38" s="27">
        <f t="shared" ref="O38:O52" ca="1" si="9">+C$11+C$12*F38</f>
        <v>1.4143747370518302E-2</v>
      </c>
      <c r="P38" s="27"/>
      <c r="Q38" s="28">
        <f t="shared" ref="Q38:Q52" si="10">+C38-15018.5</f>
        <v>31250.061000000002</v>
      </c>
      <c r="R38" s="27"/>
      <c r="S38" s="27"/>
      <c r="T38" s="27"/>
      <c r="AA38">
        <v>6</v>
      </c>
      <c r="AC38" t="s">
        <v>27</v>
      </c>
      <c r="AE38" t="s">
        <v>29</v>
      </c>
    </row>
    <row r="39" spans="1:31" x14ac:dyDescent="0.2">
      <c r="A39" s="27" t="s">
        <v>28</v>
      </c>
      <c r="B39" s="27"/>
      <c r="C39" s="29">
        <v>46269.442999999999</v>
      </c>
      <c r="D39" s="29"/>
      <c r="E39" s="27">
        <f t="shared" si="6"/>
        <v>9430.0277180735011</v>
      </c>
      <c r="F39" s="27">
        <f t="shared" si="7"/>
        <v>9430</v>
      </c>
      <c r="G39" s="27">
        <f t="shared" si="8"/>
        <v>2.4651999992784113E-2</v>
      </c>
      <c r="H39" s="27"/>
      <c r="I39" s="27">
        <f>G39</f>
        <v>2.4651999992784113E-2</v>
      </c>
      <c r="J39" s="27"/>
      <c r="K39" s="27"/>
      <c r="L39" s="27"/>
      <c r="M39" s="27"/>
      <c r="N39" s="27"/>
      <c r="O39" s="27">
        <f t="shared" ca="1" si="9"/>
        <v>1.4146315595998146E-2</v>
      </c>
      <c r="P39" s="27"/>
      <c r="Q39" s="28">
        <f t="shared" si="10"/>
        <v>31250.942999999999</v>
      </c>
      <c r="R39" s="27"/>
      <c r="S39" s="27"/>
      <c r="T39" s="27"/>
      <c r="AA39">
        <v>5</v>
      </c>
      <c r="AC39" t="s">
        <v>27</v>
      </c>
      <c r="AE39" t="s">
        <v>29</v>
      </c>
    </row>
    <row r="40" spans="1:31" x14ac:dyDescent="0.2">
      <c r="A40" s="27" t="s">
        <v>31</v>
      </c>
      <c r="B40" s="27"/>
      <c r="C40" s="29">
        <v>50684.343999999997</v>
      </c>
      <c r="D40" s="29">
        <v>3.0000000000000001E-3</v>
      </c>
      <c r="E40" s="27">
        <f t="shared" si="6"/>
        <v>14394.028628366876</v>
      </c>
      <c r="F40" s="27">
        <f t="shared" si="7"/>
        <v>14394</v>
      </c>
      <c r="G40" s="27">
        <f t="shared" si="8"/>
        <v>2.5461599994741846E-2</v>
      </c>
      <c r="H40" s="27"/>
      <c r="I40" s="27">
        <f>G40</f>
        <v>2.5461599994741846E-2</v>
      </c>
      <c r="J40" s="27"/>
      <c r="K40" s="27"/>
      <c r="L40" s="27"/>
      <c r="M40" s="27"/>
      <c r="N40" s="27"/>
      <c r="O40" s="27">
        <f t="shared" ca="1" si="9"/>
        <v>2.6894986877951832E-2</v>
      </c>
      <c r="P40" s="27"/>
      <c r="Q40" s="28">
        <f t="shared" si="10"/>
        <v>35665.843999999997</v>
      </c>
      <c r="R40" s="27"/>
      <c r="S40" s="27"/>
      <c r="T40" s="27"/>
      <c r="AA40">
        <v>29</v>
      </c>
      <c r="AC40" t="s">
        <v>30</v>
      </c>
      <c r="AE40" t="s">
        <v>29</v>
      </c>
    </row>
    <row r="41" spans="1:31" x14ac:dyDescent="0.2">
      <c r="A41" s="27" t="s">
        <v>33</v>
      </c>
      <c r="B41" s="27"/>
      <c r="C41" s="29">
        <v>50700.357799999998</v>
      </c>
      <c r="D41" s="29">
        <v>8.9999999999999998E-4</v>
      </c>
      <c r="E41" s="27">
        <f t="shared" si="6"/>
        <v>14412.034132403605</v>
      </c>
      <c r="F41" s="27">
        <f t="shared" si="7"/>
        <v>14412</v>
      </c>
      <c r="G41" s="27">
        <f t="shared" si="8"/>
        <v>3.0356799994478934E-2</v>
      </c>
      <c r="H41" s="27"/>
      <c r="J41" s="27">
        <f>G41</f>
        <v>3.0356799994478934E-2</v>
      </c>
      <c r="K41" s="27"/>
      <c r="L41" s="27"/>
      <c r="M41" s="27"/>
      <c r="N41" s="27"/>
      <c r="O41" s="27">
        <f t="shared" ca="1" si="9"/>
        <v>2.6941214936589047E-2</v>
      </c>
      <c r="P41" s="27"/>
      <c r="Q41" s="28">
        <f t="shared" si="10"/>
        <v>35681.857799999998</v>
      </c>
      <c r="R41" s="27"/>
      <c r="S41" s="27"/>
      <c r="T41" s="27"/>
      <c r="AA41">
        <v>12</v>
      </c>
      <c r="AC41" t="s">
        <v>32</v>
      </c>
      <c r="AE41" t="s">
        <v>29</v>
      </c>
    </row>
    <row r="42" spans="1:31" x14ac:dyDescent="0.2">
      <c r="A42" s="27" t="s">
        <v>35</v>
      </c>
      <c r="B42" s="27"/>
      <c r="C42" s="29">
        <v>51036.545100000003</v>
      </c>
      <c r="D42" s="29">
        <v>2.5000000000000001E-3</v>
      </c>
      <c r="E42" s="27">
        <f t="shared" si="6"/>
        <v>14790.03446881638</v>
      </c>
      <c r="F42" s="27">
        <f t="shared" si="7"/>
        <v>14790</v>
      </c>
      <c r="G42" s="27">
        <f t="shared" si="8"/>
        <v>3.0656000002636574E-2</v>
      </c>
      <c r="H42" s="27"/>
      <c r="I42" s="27"/>
      <c r="J42" s="27">
        <f>G42</f>
        <v>3.0656000002636574E-2</v>
      </c>
      <c r="K42" s="27"/>
      <c r="L42" s="27"/>
      <c r="M42" s="27"/>
      <c r="N42" s="27"/>
      <c r="O42" s="27">
        <f t="shared" ca="1" si="9"/>
        <v>2.7912004167970697E-2</v>
      </c>
      <c r="P42" s="27"/>
      <c r="Q42" s="28">
        <f t="shared" si="10"/>
        <v>36018.045100000003</v>
      </c>
      <c r="R42" s="27" t="s">
        <v>59</v>
      </c>
      <c r="S42" s="27"/>
      <c r="T42" s="27"/>
    </row>
    <row r="43" spans="1:31" x14ac:dyDescent="0.2">
      <c r="A43" s="27" t="s">
        <v>35</v>
      </c>
      <c r="B43" s="27"/>
      <c r="C43" s="29">
        <v>51045.434699999998</v>
      </c>
      <c r="D43" s="29">
        <v>1.2999999999999999E-2</v>
      </c>
      <c r="E43" s="27">
        <f t="shared" si="6"/>
        <v>14800.029705967137</v>
      </c>
      <c r="F43" s="27">
        <f t="shared" si="7"/>
        <v>14800</v>
      </c>
      <c r="G43" s="27">
        <f t="shared" si="8"/>
        <v>2.6419999994686805E-2</v>
      </c>
      <c r="H43" s="27"/>
      <c r="I43" s="27"/>
      <c r="J43" s="27">
        <f>G43</f>
        <v>2.6419999994686805E-2</v>
      </c>
      <c r="K43" s="27"/>
      <c r="L43" s="27"/>
      <c r="M43" s="27"/>
      <c r="N43" s="27"/>
      <c r="O43" s="27">
        <f t="shared" ca="1" si="9"/>
        <v>2.7937686422769156E-2</v>
      </c>
      <c r="P43" s="27"/>
      <c r="Q43" s="28">
        <f t="shared" si="10"/>
        <v>36026.934699999998</v>
      </c>
      <c r="R43" s="27" t="s">
        <v>59</v>
      </c>
      <c r="S43" s="27"/>
      <c r="T43" s="27"/>
    </row>
    <row r="44" spans="1:31" x14ac:dyDescent="0.2">
      <c r="A44" s="27" t="s">
        <v>34</v>
      </c>
      <c r="B44" s="27"/>
      <c r="C44" s="29">
        <v>51777.404000000002</v>
      </c>
      <c r="D44" s="29">
        <v>9.7000000000000003E-3</v>
      </c>
      <c r="E44" s="27">
        <f t="shared" si="6"/>
        <v>15623.03712368881</v>
      </c>
      <c r="F44" s="27">
        <f t="shared" si="7"/>
        <v>15623</v>
      </c>
      <c r="G44" s="27">
        <f t="shared" si="8"/>
        <v>3.3017200003087055E-2</v>
      </c>
      <c r="H44" s="27"/>
      <c r="I44" s="27"/>
      <c r="J44" s="27">
        <f>G44</f>
        <v>3.3017200003087055E-2</v>
      </c>
      <c r="K44" s="27"/>
      <c r="L44" s="27"/>
      <c r="M44" s="27"/>
      <c r="N44" s="27"/>
      <c r="O44" s="27">
        <f t="shared" ca="1" si="9"/>
        <v>3.0051335992682102E-2</v>
      </c>
      <c r="P44" s="27"/>
      <c r="Q44" s="28">
        <f t="shared" si="10"/>
        <v>36758.904000000002</v>
      </c>
      <c r="R44" s="27" t="s">
        <v>59</v>
      </c>
      <c r="S44" s="27"/>
      <c r="T44" s="27"/>
    </row>
    <row r="45" spans="1:31" x14ac:dyDescent="0.2">
      <c r="A45" s="46" t="s">
        <v>148</v>
      </c>
      <c r="B45" s="47" t="s">
        <v>51</v>
      </c>
      <c r="C45" s="29">
        <v>52147.385999999999</v>
      </c>
      <c r="D45" s="29" t="s">
        <v>66</v>
      </c>
      <c r="E45" s="27">
        <f t="shared" si="6"/>
        <v>16039.035349876021</v>
      </c>
      <c r="F45" s="27">
        <f t="shared" si="7"/>
        <v>16039</v>
      </c>
      <c r="G45" s="27">
        <f t="shared" si="8"/>
        <v>3.1439599995792378E-2</v>
      </c>
      <c r="H45" s="27"/>
      <c r="I45" s="27">
        <f>G45</f>
        <v>3.1439599995792378E-2</v>
      </c>
      <c r="K45" s="27"/>
      <c r="L45" s="27"/>
      <c r="M45" s="27"/>
      <c r="N45" s="27"/>
      <c r="O45" s="27">
        <f t="shared" ca="1" si="9"/>
        <v>3.1119717792297885E-2</v>
      </c>
      <c r="P45" s="27"/>
      <c r="Q45" s="28">
        <f t="shared" si="10"/>
        <v>37128.885999999999</v>
      </c>
      <c r="R45" s="27"/>
      <c r="S45" s="27"/>
      <c r="T45" s="27"/>
    </row>
    <row r="46" spans="1:31" x14ac:dyDescent="0.2">
      <c r="A46" s="53" t="s">
        <v>54</v>
      </c>
      <c r="B46" s="54" t="s">
        <v>51</v>
      </c>
      <c r="C46" s="53">
        <v>54671.464899999999</v>
      </c>
      <c r="D46" s="53">
        <v>2.0000000000000001E-4</v>
      </c>
      <c r="E46" s="27">
        <f t="shared" si="6"/>
        <v>18877.044618317672</v>
      </c>
      <c r="F46" s="27">
        <f t="shared" si="7"/>
        <v>18877</v>
      </c>
      <c r="G46" s="27">
        <f t="shared" si="8"/>
        <v>3.9682799993897788E-2</v>
      </c>
      <c r="H46" s="27"/>
      <c r="I46" s="27"/>
      <c r="J46" s="27">
        <f>G46</f>
        <v>3.9682799993897788E-2</v>
      </c>
      <c r="K46" s="27"/>
      <c r="L46" s="27"/>
      <c r="M46" s="27"/>
      <c r="N46" s="27"/>
      <c r="O46" s="27">
        <f t="shared" ca="1" si="9"/>
        <v>3.840834170409977E-2</v>
      </c>
      <c r="P46" s="27"/>
      <c r="Q46" s="28">
        <f t="shared" si="10"/>
        <v>39652.964899999999</v>
      </c>
      <c r="R46" s="27" t="s">
        <v>61</v>
      </c>
      <c r="S46" s="27"/>
      <c r="T46" s="27"/>
    </row>
    <row r="47" spans="1:31" x14ac:dyDescent="0.2">
      <c r="A47" s="46" t="s">
        <v>162</v>
      </c>
      <c r="B47" s="47" t="s">
        <v>51</v>
      </c>
      <c r="C47" s="29">
        <v>55082.3603</v>
      </c>
      <c r="D47" s="29" t="s">
        <v>66</v>
      </c>
      <c r="E47" s="27">
        <f t="shared" si="6"/>
        <v>19339.044817107035</v>
      </c>
      <c r="F47" s="27">
        <f t="shared" si="7"/>
        <v>19339</v>
      </c>
      <c r="G47" s="27">
        <f t="shared" si="8"/>
        <v>3.9859600001364015E-2</v>
      </c>
      <c r="H47" s="27"/>
      <c r="I47" s="27"/>
      <c r="K47" s="27">
        <f>G47</f>
        <v>3.9859600001364015E-2</v>
      </c>
      <c r="L47" s="27"/>
      <c r="M47" s="27"/>
      <c r="N47" s="27"/>
      <c r="O47" s="27">
        <f t="shared" ca="1" si="9"/>
        <v>3.9594861875788444E-2</v>
      </c>
      <c r="P47" s="27"/>
      <c r="Q47" s="28">
        <f t="shared" si="10"/>
        <v>40063.8603</v>
      </c>
      <c r="R47" s="27"/>
      <c r="S47" s="27"/>
      <c r="T47" s="27"/>
    </row>
    <row r="48" spans="1:31" x14ac:dyDescent="0.2">
      <c r="A48" s="48" t="s">
        <v>50</v>
      </c>
      <c r="B48" s="49" t="s">
        <v>51</v>
      </c>
      <c r="C48" s="50">
        <v>55082.360330000003</v>
      </c>
      <c r="D48" s="50">
        <v>5.9999999999999995E-4</v>
      </c>
      <c r="E48" s="27">
        <f t="shared" si="6"/>
        <v>19339.044850838265</v>
      </c>
      <c r="F48" s="27">
        <f t="shared" si="7"/>
        <v>19339</v>
      </c>
      <c r="G48" s="27">
        <f t="shared" si="8"/>
        <v>3.988960000424413E-2</v>
      </c>
      <c r="H48" s="27"/>
      <c r="I48" s="27"/>
      <c r="K48" s="27">
        <f>G48</f>
        <v>3.988960000424413E-2</v>
      </c>
      <c r="L48" s="27"/>
      <c r="M48" s="27"/>
      <c r="O48" s="27">
        <f t="shared" ca="1" si="9"/>
        <v>3.9594861875788444E-2</v>
      </c>
      <c r="P48" s="27"/>
      <c r="Q48" s="28">
        <f t="shared" si="10"/>
        <v>40063.860330000003</v>
      </c>
      <c r="R48" s="27"/>
      <c r="S48" s="27"/>
      <c r="T48" s="27"/>
    </row>
    <row r="49" spans="1:20" x14ac:dyDescent="0.2">
      <c r="A49" s="51" t="s">
        <v>55</v>
      </c>
      <c r="B49" s="52" t="s">
        <v>56</v>
      </c>
      <c r="C49" s="51">
        <v>55847.675000000003</v>
      </c>
      <c r="D49" s="51">
        <v>4.0000000000000001E-3</v>
      </c>
      <c r="E49" s="27">
        <f t="shared" si="6"/>
        <v>20199.544943261826</v>
      </c>
      <c r="F49" s="27">
        <f t="shared" si="7"/>
        <v>20199.5</v>
      </c>
      <c r="G49" s="27">
        <f t="shared" si="8"/>
        <v>3.9971799997147173E-2</v>
      </c>
      <c r="H49" s="27"/>
      <c r="I49" s="27"/>
      <c r="K49" s="27">
        <f>G49</f>
        <v>3.9971799997147173E-2</v>
      </c>
      <c r="L49" s="27"/>
      <c r="M49" s="27"/>
      <c r="N49" s="27"/>
      <c r="O49" s="27">
        <f t="shared" ca="1" si="9"/>
        <v>4.1804819901195604E-2</v>
      </c>
      <c r="P49" s="27"/>
      <c r="Q49" s="28">
        <f t="shared" si="10"/>
        <v>40829.175000000003</v>
      </c>
      <c r="R49" s="27" t="s">
        <v>59</v>
      </c>
      <c r="S49" s="27"/>
      <c r="T49" s="27"/>
    </row>
    <row r="50" spans="1:20" x14ac:dyDescent="0.2">
      <c r="A50" s="55" t="s">
        <v>0</v>
      </c>
      <c r="B50" s="56" t="s">
        <v>51</v>
      </c>
      <c r="C50" s="57">
        <v>56912.715799999998</v>
      </c>
      <c r="D50" s="57">
        <v>1E-4</v>
      </c>
      <c r="E50" s="27">
        <f t="shared" si="6"/>
        <v>21397.04937217191</v>
      </c>
      <c r="F50" s="27">
        <f t="shared" si="7"/>
        <v>21397</v>
      </c>
      <c r="G50" s="27">
        <f t="shared" si="8"/>
        <v>4.3910799991863314E-2</v>
      </c>
      <c r="H50" s="27"/>
      <c r="I50" s="27"/>
      <c r="K50" s="27">
        <f>G50</f>
        <v>4.3910799991863314E-2</v>
      </c>
      <c r="L50" s="27"/>
      <c r="M50" s="27"/>
      <c r="O50" s="27">
        <f t="shared" ca="1" si="9"/>
        <v>4.488026991331074E-2</v>
      </c>
      <c r="P50" s="27"/>
      <c r="Q50" s="28">
        <f t="shared" si="10"/>
        <v>41894.215799999998</v>
      </c>
      <c r="R50" s="27"/>
      <c r="S50" s="27"/>
      <c r="T50" s="27"/>
    </row>
    <row r="51" spans="1:20" x14ac:dyDescent="0.2">
      <c r="A51" s="55" t="s">
        <v>0</v>
      </c>
      <c r="B51" s="56" t="s">
        <v>51</v>
      </c>
      <c r="C51" s="57">
        <v>57282.703600000001</v>
      </c>
      <c r="D51" s="57">
        <v>2.0000000000000001E-4</v>
      </c>
      <c r="E51" s="27">
        <f t="shared" si="6"/>
        <v>21813.054119729662</v>
      </c>
      <c r="F51" s="27">
        <f t="shared" si="7"/>
        <v>21813</v>
      </c>
      <c r="G51" s="27">
        <f t="shared" si="8"/>
        <v>4.813319999811938E-2</v>
      </c>
      <c r="H51" s="27"/>
      <c r="I51" s="27"/>
      <c r="K51" s="27">
        <f>G51</f>
        <v>4.813319999811938E-2</v>
      </c>
      <c r="L51" s="27"/>
      <c r="M51" s="27"/>
      <c r="O51" s="27">
        <f t="shared" ca="1" si="9"/>
        <v>4.5948651712926523E-2</v>
      </c>
      <c r="P51" s="27"/>
      <c r="Q51" s="28">
        <f t="shared" si="10"/>
        <v>42264.203600000001</v>
      </c>
      <c r="R51" s="27"/>
      <c r="S51" s="27"/>
      <c r="T51" s="27"/>
    </row>
    <row r="52" spans="1:20" x14ac:dyDescent="0.2">
      <c r="A52" s="55" t="s">
        <v>1</v>
      </c>
      <c r="B52" s="56" t="s">
        <v>51</v>
      </c>
      <c r="C52" s="57">
        <v>57668.697800000002</v>
      </c>
      <c r="D52" s="57">
        <v>8.0000000000000004E-4</v>
      </c>
      <c r="E52" s="27">
        <f t="shared" si="6"/>
        <v>22247.056050954838</v>
      </c>
      <c r="F52" s="27">
        <f t="shared" si="7"/>
        <v>22247</v>
      </c>
      <c r="G52" s="27">
        <f t="shared" si="8"/>
        <v>4.9850799994601402E-2</v>
      </c>
      <c r="H52" s="27"/>
      <c r="I52" s="27"/>
      <c r="K52" s="27">
        <f>G52</f>
        <v>4.9850799994601402E-2</v>
      </c>
      <c r="L52" s="27"/>
      <c r="M52" s="27"/>
      <c r="O52" s="27">
        <f t="shared" ca="1" si="9"/>
        <v>4.7063261571179522E-2</v>
      </c>
      <c r="P52" s="27"/>
      <c r="Q52" s="28">
        <f t="shared" si="10"/>
        <v>42650.197800000002</v>
      </c>
      <c r="R52" s="27"/>
      <c r="S52" s="27"/>
      <c r="T52" s="27"/>
    </row>
    <row r="53" spans="1:20" x14ac:dyDescent="0.2">
      <c r="A53" s="58" t="s">
        <v>171</v>
      </c>
      <c r="B53" s="59" t="s">
        <v>51</v>
      </c>
      <c r="C53" s="60">
        <v>58054.692600000002</v>
      </c>
      <c r="D53" s="60">
        <v>2.0000000000000001E-4</v>
      </c>
      <c r="E53" s="27">
        <f>+(C53-C$7)/C$8</f>
        <v>22681.058656804555</v>
      </c>
      <c r="F53" s="27">
        <f t="shared" si="7"/>
        <v>22681</v>
      </c>
      <c r="G53" s="27">
        <f>+C53-(C$7+F53*C$8)</f>
        <v>5.2168399997754022E-2</v>
      </c>
      <c r="H53" s="27"/>
      <c r="I53" s="27"/>
      <c r="K53" s="27">
        <f>G53</f>
        <v>5.2168399997754022E-2</v>
      </c>
      <c r="L53" s="27"/>
      <c r="M53" s="27"/>
      <c r="O53" s="27">
        <f ca="1">+C$11+C$12*F53</f>
        <v>4.8177871429432528E-2</v>
      </c>
      <c r="P53" s="27"/>
      <c r="Q53" s="28">
        <f>+C53-15018.5</f>
        <v>43036.192600000002</v>
      </c>
      <c r="R53" s="27"/>
      <c r="S53" s="27"/>
      <c r="T53" s="27"/>
    </row>
    <row r="54" spans="1:20" x14ac:dyDescent="0.2">
      <c r="A54" s="27"/>
      <c r="B54" s="27"/>
      <c r="C54" s="29"/>
      <c r="D54" s="2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 spans="1:20" x14ac:dyDescent="0.2">
      <c r="A55" s="27"/>
      <c r="B55" s="27"/>
      <c r="C55" s="29"/>
      <c r="D55" s="2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:20" x14ac:dyDescent="0.2">
      <c r="A56" s="27"/>
      <c r="B56" s="27"/>
      <c r="C56" s="29"/>
      <c r="D56" s="29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 spans="1:20" x14ac:dyDescent="0.2">
      <c r="A57" s="27"/>
      <c r="B57" s="27"/>
      <c r="C57" s="29"/>
      <c r="D57" s="29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1:20" x14ac:dyDescent="0.2">
      <c r="A58" s="27"/>
      <c r="B58" s="27"/>
      <c r="C58" s="29"/>
      <c r="D58" s="29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:20" x14ac:dyDescent="0.2">
      <c r="A59" s="27"/>
      <c r="B59" s="27"/>
      <c r="C59" s="29"/>
      <c r="D59" s="29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1:20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pans="1:2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spans="1:20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</row>
    <row r="63" spans="1:20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</row>
    <row r="64" spans="1:2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</row>
    <row r="65" spans="1:20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</row>
    <row r="66" spans="1:20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</row>
    <row r="67" spans="1:20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</row>
    <row r="68" spans="1:20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</row>
    <row r="69" spans="1:20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spans="1:20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</row>
    <row r="71" spans="1:20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</row>
    <row r="72" spans="1:20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</row>
    <row r="73" spans="1:20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</row>
    <row r="74" spans="1:20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</row>
    <row r="75" spans="1:20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</row>
    <row r="78" spans="1:20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</row>
    <row r="79" spans="1:20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r="80" spans="1:20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r="81" spans="1:20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spans="1:20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</row>
    <row r="83" spans="1:20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</row>
    <row r="84" spans="1:20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</row>
    <row r="85" spans="1:20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</row>
    <row r="86" spans="1:20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  <row r="87" spans="1:20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 spans="1:20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</row>
    <row r="89" spans="1:20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pans="1:20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</row>
    <row r="91" spans="1:20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 spans="1:20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</row>
    <row r="93" spans="1:20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spans="1:20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</row>
    <row r="95" spans="1:20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</row>
    <row r="96" spans="1:20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</row>
    <row r="97" spans="1:20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</row>
    <row r="98" spans="1:20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</row>
    <row r="99" spans="1:20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</row>
    <row r="100" spans="1:20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1:20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</row>
    <row r="102" spans="1:20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1:20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</row>
    <row r="105" spans="1:20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1:20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</row>
    <row r="107" spans="1:20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1:20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1:20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1:20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1:20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1:20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1:20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1:20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</row>
    <row r="115" spans="1:20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</row>
    <row r="116" spans="1:20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</row>
    <row r="117" spans="1:20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1:20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1:20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1:20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1:20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1:20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1:20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1:20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1:20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1:20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1:20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1:20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1:20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1:20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1:20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1:20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1:20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1:20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1:20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1:20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1:20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1:20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1:20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1:20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1:20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1:20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1:20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1:20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1:20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1:20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1:20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1:20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1:20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1:20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1:20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1:20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1:20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1:20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1:20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1:20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1:20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1:20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1:20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1:20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1:20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1:20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1:20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1:20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1:20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1:20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1:20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1:20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1:20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1:20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1:20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1:20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1:20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1:20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</sheetData>
  <protectedRanges>
    <protectedRange sqref="A53:D53" name="Range1"/>
  </protectedRanges>
  <phoneticPr fontId="8" type="noConversion"/>
  <hyperlinks>
    <hyperlink ref="H64786" r:id="rId1" display="http://vsolj.cetus-net.org/bulletin.html"/>
    <hyperlink ref="H64779" r:id="rId2" display="http://vsolj.cetus-net.org/bulletin.html"/>
    <hyperlink ref="AP2276" r:id="rId3" display="http://cdsbib.u-strasbg.fr/cgi-bin/cdsbib?1990RMxAA..21..381G"/>
    <hyperlink ref="AP2279" r:id="rId4" display="http://cdsbib.u-strasbg.fr/cgi-bin/cdsbib?1990RMxAA..21..381G"/>
    <hyperlink ref="AP2277" r:id="rId5" display="http://cdsbib.u-strasbg.fr/cgi-bin/cdsbib?1990RMxAA..21..381G"/>
    <hyperlink ref="AP2255" r:id="rId6" display="http://cdsbib.u-strasbg.fr/cgi-bin/cdsbib?1990RMxAA..21..381G"/>
    <hyperlink ref="I64786" r:id="rId7" display="http://vsolj.cetus-net.org/bulletin.html"/>
    <hyperlink ref="AQ2389" r:id="rId8" display="http://cdsbib.u-strasbg.fr/cgi-bin/cdsbib?1990RMxAA..21..381G"/>
    <hyperlink ref="AQ658" r:id="rId9" display="http://cdsbib.u-strasbg.fr/cgi-bin/cdsbib?1990RMxAA..21..381G"/>
    <hyperlink ref="AQ2390" r:id="rId10" display="http://cdsbib.u-strasbg.fr/cgi-bin/cdsbib?1990RMxAA..21..381G"/>
    <hyperlink ref="H64783" r:id="rId11" display="https://www.aavso.org/ejaavso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3"/>
  <sheetViews>
    <sheetView workbookViewId="0">
      <selection activeCell="A36" sqref="A36:D37"/>
    </sheetView>
  </sheetViews>
  <sheetFormatPr defaultRowHeight="12.75" x14ac:dyDescent="0.2"/>
  <cols>
    <col min="1" max="1" width="19.7109375" style="33" customWidth="1"/>
    <col min="2" max="2" width="4.42578125" style="10" customWidth="1"/>
    <col min="3" max="3" width="12.7109375" style="33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33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2" t="s">
        <v>57</v>
      </c>
      <c r="I1" s="34" t="s">
        <v>58</v>
      </c>
      <c r="J1" s="35" t="s">
        <v>59</v>
      </c>
    </row>
    <row r="2" spans="1:16" x14ac:dyDescent="0.2">
      <c r="I2" s="36" t="s">
        <v>60</v>
      </c>
      <c r="J2" s="37" t="s">
        <v>61</v>
      </c>
    </row>
    <row r="3" spans="1:16" x14ac:dyDescent="0.2">
      <c r="A3" s="38" t="s">
        <v>62</v>
      </c>
      <c r="I3" s="36" t="s">
        <v>63</v>
      </c>
      <c r="J3" s="37" t="s">
        <v>53</v>
      </c>
    </row>
    <row r="4" spans="1:16" x14ac:dyDescent="0.2">
      <c r="I4" s="36" t="s">
        <v>64</v>
      </c>
      <c r="J4" s="37" t="s">
        <v>53</v>
      </c>
    </row>
    <row r="5" spans="1:16" ht="13.5" thickBot="1" x14ac:dyDescent="0.25">
      <c r="I5" s="39" t="s">
        <v>65</v>
      </c>
      <c r="J5" s="40" t="s">
        <v>66</v>
      </c>
    </row>
    <row r="10" spans="1:16" ht="13.5" thickBot="1" x14ac:dyDescent="0.25"/>
    <row r="11" spans="1:16" ht="12.75" customHeight="1" thickBot="1" x14ac:dyDescent="0.25">
      <c r="A11" s="33" t="str">
        <f t="shared" ref="A11:A37" si="0">P11</f>
        <v>IBVS 1369 </v>
      </c>
      <c r="B11" s="13" t="str">
        <f t="shared" ref="B11:B37" si="1">IF(H11=INT(H11),"I","II")</f>
        <v>I</v>
      </c>
      <c r="C11" s="33">
        <f t="shared" ref="C11:C37" si="2">1*G11</f>
        <v>28847.27</v>
      </c>
      <c r="D11" s="10" t="str">
        <f t="shared" ref="D11:D37" si="3">VLOOKUP(F11,I$1:J$5,2,FALSE)</f>
        <v>vis</v>
      </c>
      <c r="E11" s="41">
        <f>VLOOKUP(C11,Active!C$21:E$973,3,FALSE)</f>
        <v>-10159.014625410229</v>
      </c>
      <c r="F11" s="13" t="s">
        <v>65</v>
      </c>
      <c r="G11" s="10" t="str">
        <f t="shared" ref="G11:G37" si="4">MID(I11,3,LEN(I11)-3)</f>
        <v>28847.27</v>
      </c>
      <c r="H11" s="33">
        <f t="shared" ref="H11:H37" si="5">1*K11</f>
        <v>-26595</v>
      </c>
      <c r="I11" s="42" t="s">
        <v>68</v>
      </c>
      <c r="J11" s="43" t="s">
        <v>69</v>
      </c>
      <c r="K11" s="42">
        <v>-26595</v>
      </c>
      <c r="L11" s="42" t="s">
        <v>70</v>
      </c>
      <c r="M11" s="43" t="s">
        <v>71</v>
      </c>
      <c r="N11" s="43"/>
      <c r="O11" s="44" t="s">
        <v>72</v>
      </c>
      <c r="P11" s="45" t="s">
        <v>73</v>
      </c>
    </row>
    <row r="12" spans="1:16" ht="12.75" customHeight="1" thickBot="1" x14ac:dyDescent="0.25">
      <c r="A12" s="33" t="str">
        <f t="shared" si="0"/>
        <v>IBVS 1369 </v>
      </c>
      <c r="B12" s="13" t="str">
        <f t="shared" si="1"/>
        <v>I</v>
      </c>
      <c r="C12" s="33">
        <f t="shared" si="2"/>
        <v>37882.480000000003</v>
      </c>
      <c r="D12" s="10" t="str">
        <f t="shared" si="3"/>
        <v>vis</v>
      </c>
      <c r="E12" s="41">
        <f>VLOOKUP(C12,Active!C$21:E$973,3,FALSE)</f>
        <v>-5.734308570506149E-2</v>
      </c>
      <c r="F12" s="13" t="s">
        <v>65</v>
      </c>
      <c r="G12" s="10" t="str">
        <f t="shared" si="4"/>
        <v>37882.48</v>
      </c>
      <c r="H12" s="33">
        <f t="shared" si="5"/>
        <v>-16436</v>
      </c>
      <c r="I12" s="42" t="s">
        <v>74</v>
      </c>
      <c r="J12" s="43" t="s">
        <v>75</v>
      </c>
      <c r="K12" s="42">
        <v>-16436</v>
      </c>
      <c r="L12" s="42" t="s">
        <v>76</v>
      </c>
      <c r="M12" s="43" t="s">
        <v>71</v>
      </c>
      <c r="N12" s="43"/>
      <c r="O12" s="44" t="s">
        <v>72</v>
      </c>
      <c r="P12" s="45" t="s">
        <v>73</v>
      </c>
    </row>
    <row r="13" spans="1:16" ht="12.75" customHeight="1" thickBot="1" x14ac:dyDescent="0.25">
      <c r="A13" s="33" t="str">
        <f t="shared" si="0"/>
        <v>IBVS 1369 </v>
      </c>
      <c r="B13" s="13" t="str">
        <f t="shared" si="1"/>
        <v>I</v>
      </c>
      <c r="C13" s="33">
        <f t="shared" si="2"/>
        <v>37932.35</v>
      </c>
      <c r="D13" s="10" t="str">
        <f t="shared" si="3"/>
        <v>vis</v>
      </c>
      <c r="E13" s="41">
        <f>VLOOKUP(C13,Active!C$21:E$973,3,FALSE)</f>
        <v>56.015199740579725</v>
      </c>
      <c r="F13" s="13" t="s">
        <v>65</v>
      </c>
      <c r="G13" s="10" t="str">
        <f t="shared" si="4"/>
        <v>37932.35</v>
      </c>
      <c r="H13" s="33">
        <f t="shared" si="5"/>
        <v>-16380</v>
      </c>
      <c r="I13" s="42" t="s">
        <v>77</v>
      </c>
      <c r="J13" s="43" t="s">
        <v>78</v>
      </c>
      <c r="K13" s="42">
        <v>-16380</v>
      </c>
      <c r="L13" s="42" t="s">
        <v>79</v>
      </c>
      <c r="M13" s="43" t="s">
        <v>71</v>
      </c>
      <c r="N13" s="43"/>
      <c r="O13" s="44" t="s">
        <v>72</v>
      </c>
      <c r="P13" s="45" t="s">
        <v>73</v>
      </c>
    </row>
    <row r="14" spans="1:16" ht="12.75" customHeight="1" thickBot="1" x14ac:dyDescent="0.25">
      <c r="A14" s="33" t="str">
        <f t="shared" si="0"/>
        <v>IBVS 1369 </v>
      </c>
      <c r="B14" s="13" t="str">
        <f t="shared" si="1"/>
        <v>I</v>
      </c>
      <c r="C14" s="33">
        <f t="shared" si="2"/>
        <v>39050.29</v>
      </c>
      <c r="D14" s="10" t="str">
        <f t="shared" si="3"/>
        <v>vis</v>
      </c>
      <c r="E14" s="41">
        <f>VLOOKUP(C14,Active!C$21:E$973,3,FALSE)</f>
        <v>1312.9981258930322</v>
      </c>
      <c r="F14" s="13" t="s">
        <v>65</v>
      </c>
      <c r="G14" s="10" t="str">
        <f t="shared" si="4"/>
        <v>39050.29</v>
      </c>
      <c r="H14" s="33">
        <f t="shared" si="5"/>
        <v>-15123</v>
      </c>
      <c r="I14" s="42" t="s">
        <v>80</v>
      </c>
      <c r="J14" s="43" t="s">
        <v>81</v>
      </c>
      <c r="K14" s="42">
        <v>-15123</v>
      </c>
      <c r="L14" s="42" t="s">
        <v>82</v>
      </c>
      <c r="M14" s="43" t="s">
        <v>71</v>
      </c>
      <c r="N14" s="43"/>
      <c r="O14" s="44" t="s">
        <v>72</v>
      </c>
      <c r="P14" s="45" t="s">
        <v>73</v>
      </c>
    </row>
    <row r="15" spans="1:16" ht="12.75" customHeight="1" thickBot="1" x14ac:dyDescent="0.25">
      <c r="A15" s="33" t="str">
        <f t="shared" si="0"/>
        <v>IBVS 1369 </v>
      </c>
      <c r="B15" s="13" t="str">
        <f t="shared" si="1"/>
        <v>I</v>
      </c>
      <c r="C15" s="33">
        <f t="shared" si="2"/>
        <v>39058.26</v>
      </c>
      <c r="D15" s="10" t="str">
        <f t="shared" si="3"/>
        <v>vis</v>
      </c>
      <c r="E15" s="41">
        <f>VLOOKUP(C15,Active!C$21:E$973,3,FALSE)</f>
        <v>1321.9593885023282</v>
      </c>
      <c r="F15" s="13" t="s">
        <v>65</v>
      </c>
      <c r="G15" s="10" t="str">
        <f t="shared" si="4"/>
        <v>39058.26</v>
      </c>
      <c r="H15" s="33">
        <f t="shared" si="5"/>
        <v>-15114</v>
      </c>
      <c r="I15" s="42" t="s">
        <v>83</v>
      </c>
      <c r="J15" s="43" t="s">
        <v>84</v>
      </c>
      <c r="K15" s="42">
        <v>-15114</v>
      </c>
      <c r="L15" s="42" t="s">
        <v>85</v>
      </c>
      <c r="M15" s="43" t="s">
        <v>71</v>
      </c>
      <c r="N15" s="43"/>
      <c r="O15" s="44" t="s">
        <v>72</v>
      </c>
      <c r="P15" s="45" t="s">
        <v>73</v>
      </c>
    </row>
    <row r="16" spans="1:16" ht="12.75" customHeight="1" thickBot="1" x14ac:dyDescent="0.25">
      <c r="A16" s="33" t="str">
        <f t="shared" si="0"/>
        <v>IBVS 1369 </v>
      </c>
      <c r="B16" s="13" t="str">
        <f t="shared" si="1"/>
        <v>I</v>
      </c>
      <c r="C16" s="33">
        <f t="shared" si="2"/>
        <v>39412.300000000003</v>
      </c>
      <c r="D16" s="10" t="str">
        <f t="shared" si="3"/>
        <v>vis</v>
      </c>
      <c r="E16" s="41">
        <f>VLOOKUP(C16,Active!C$21:E$973,3,FALSE)</f>
        <v>1720.0328407224961</v>
      </c>
      <c r="F16" s="13" t="s">
        <v>65</v>
      </c>
      <c r="G16" s="10" t="str">
        <f t="shared" si="4"/>
        <v>39412.30</v>
      </c>
      <c r="H16" s="33">
        <f t="shared" si="5"/>
        <v>-14716</v>
      </c>
      <c r="I16" s="42" t="s">
        <v>86</v>
      </c>
      <c r="J16" s="43" t="s">
        <v>87</v>
      </c>
      <c r="K16" s="42">
        <v>-14716</v>
      </c>
      <c r="L16" s="42" t="s">
        <v>88</v>
      </c>
      <c r="M16" s="43" t="s">
        <v>71</v>
      </c>
      <c r="N16" s="43"/>
      <c r="O16" s="44" t="s">
        <v>72</v>
      </c>
      <c r="P16" s="45" t="s">
        <v>73</v>
      </c>
    </row>
    <row r="17" spans="1:16" ht="12.75" customHeight="1" thickBot="1" x14ac:dyDescent="0.25">
      <c r="A17" s="33" t="str">
        <f t="shared" si="0"/>
        <v>IBVS 1369 </v>
      </c>
      <c r="B17" s="13" t="str">
        <f t="shared" si="1"/>
        <v>I</v>
      </c>
      <c r="C17" s="33">
        <f t="shared" si="2"/>
        <v>40069.519999999997</v>
      </c>
      <c r="D17" s="10" t="str">
        <f t="shared" si="3"/>
        <v>vis</v>
      </c>
      <c r="E17" s="41">
        <f>VLOOKUP(C17,Active!C$21:E$973,3,FALSE)</f>
        <v>2458.9940718493053</v>
      </c>
      <c r="F17" s="13" t="s">
        <v>65</v>
      </c>
      <c r="G17" s="10" t="str">
        <f t="shared" si="4"/>
        <v>40069.52</v>
      </c>
      <c r="H17" s="33">
        <f t="shared" si="5"/>
        <v>-13977</v>
      </c>
      <c r="I17" s="42" t="s">
        <v>89</v>
      </c>
      <c r="J17" s="43" t="s">
        <v>90</v>
      </c>
      <c r="K17" s="42">
        <v>-13977</v>
      </c>
      <c r="L17" s="42" t="s">
        <v>70</v>
      </c>
      <c r="M17" s="43" t="s">
        <v>71</v>
      </c>
      <c r="N17" s="43"/>
      <c r="O17" s="44" t="s">
        <v>72</v>
      </c>
      <c r="P17" s="45" t="s">
        <v>73</v>
      </c>
    </row>
    <row r="18" spans="1:16" ht="12.75" customHeight="1" thickBot="1" x14ac:dyDescent="0.25">
      <c r="A18" s="33" t="str">
        <f t="shared" si="0"/>
        <v>IBVS 1369 </v>
      </c>
      <c r="B18" s="13" t="str">
        <f t="shared" si="1"/>
        <v>I</v>
      </c>
      <c r="C18" s="33">
        <f t="shared" si="2"/>
        <v>40859.33</v>
      </c>
      <c r="D18" s="10" t="str">
        <f t="shared" si="3"/>
        <v>vis</v>
      </c>
      <c r="E18" s="41">
        <f>VLOOKUP(C18,Active!C$21:E$973,3,FALSE)</f>
        <v>3347.0360820685237</v>
      </c>
      <c r="F18" s="13" t="s">
        <v>65</v>
      </c>
      <c r="G18" s="10" t="str">
        <f t="shared" si="4"/>
        <v>40859.33</v>
      </c>
      <c r="H18" s="33">
        <f t="shared" si="5"/>
        <v>-13089</v>
      </c>
      <c r="I18" s="42" t="s">
        <v>91</v>
      </c>
      <c r="J18" s="43" t="s">
        <v>92</v>
      </c>
      <c r="K18" s="42">
        <v>-13089</v>
      </c>
      <c r="L18" s="42" t="s">
        <v>88</v>
      </c>
      <c r="M18" s="43" t="s">
        <v>71</v>
      </c>
      <c r="N18" s="43"/>
      <c r="O18" s="44" t="s">
        <v>72</v>
      </c>
      <c r="P18" s="45" t="s">
        <v>73</v>
      </c>
    </row>
    <row r="19" spans="1:16" ht="12.75" customHeight="1" thickBot="1" x14ac:dyDescent="0.25">
      <c r="A19" s="33" t="str">
        <f t="shared" si="0"/>
        <v>IBVS 1369 </v>
      </c>
      <c r="B19" s="13" t="str">
        <f t="shared" si="1"/>
        <v>I</v>
      </c>
      <c r="C19" s="33">
        <f t="shared" si="2"/>
        <v>42248.5</v>
      </c>
      <c r="D19" s="10" t="str">
        <f t="shared" si="3"/>
        <v>vis</v>
      </c>
      <c r="E19" s="41">
        <f>VLOOKUP(C19,Active!C$21:E$973,3,FALSE)</f>
        <v>4908.9830304943753</v>
      </c>
      <c r="F19" s="13" t="s">
        <v>65</v>
      </c>
      <c r="G19" s="10" t="str">
        <f t="shared" si="4"/>
        <v>42248.50</v>
      </c>
      <c r="H19" s="33">
        <f t="shared" si="5"/>
        <v>-11527</v>
      </c>
      <c r="I19" s="42" t="s">
        <v>93</v>
      </c>
      <c r="J19" s="43" t="s">
        <v>94</v>
      </c>
      <c r="K19" s="42">
        <v>-11527</v>
      </c>
      <c r="L19" s="42" t="s">
        <v>95</v>
      </c>
      <c r="M19" s="43" t="s">
        <v>71</v>
      </c>
      <c r="N19" s="43"/>
      <c r="O19" s="44" t="s">
        <v>72</v>
      </c>
      <c r="P19" s="45" t="s">
        <v>73</v>
      </c>
    </row>
    <row r="20" spans="1:16" ht="12.75" customHeight="1" thickBot="1" x14ac:dyDescent="0.25">
      <c r="A20" s="33" t="str">
        <f t="shared" si="0"/>
        <v>IBVS 1369 </v>
      </c>
      <c r="B20" s="13" t="str">
        <f t="shared" si="1"/>
        <v>I</v>
      </c>
      <c r="C20" s="33">
        <f t="shared" si="2"/>
        <v>42281.43</v>
      </c>
      <c r="D20" s="10" t="str">
        <f t="shared" si="3"/>
        <v>vis</v>
      </c>
      <c r="E20" s="41">
        <f>VLOOKUP(C20,Active!C$21:E$973,3,FALSE)</f>
        <v>4946.0086738725531</v>
      </c>
      <c r="F20" s="13" t="s">
        <v>65</v>
      </c>
      <c r="G20" s="10" t="str">
        <f t="shared" si="4"/>
        <v>42281.43</v>
      </c>
      <c r="H20" s="33">
        <f t="shared" si="5"/>
        <v>-11490</v>
      </c>
      <c r="I20" s="42" t="s">
        <v>96</v>
      </c>
      <c r="J20" s="43" t="s">
        <v>97</v>
      </c>
      <c r="K20" s="42">
        <v>-11490</v>
      </c>
      <c r="L20" s="42" t="s">
        <v>82</v>
      </c>
      <c r="M20" s="43" t="s">
        <v>71</v>
      </c>
      <c r="N20" s="43"/>
      <c r="O20" s="44" t="s">
        <v>72</v>
      </c>
      <c r="P20" s="45" t="s">
        <v>73</v>
      </c>
    </row>
    <row r="21" spans="1:16" ht="12.75" customHeight="1" thickBot="1" x14ac:dyDescent="0.25">
      <c r="A21" s="33" t="str">
        <f t="shared" si="0"/>
        <v>IBVS 1369 </v>
      </c>
      <c r="B21" s="13" t="str">
        <f t="shared" si="1"/>
        <v>I</v>
      </c>
      <c r="C21" s="33">
        <f t="shared" si="2"/>
        <v>42339.27</v>
      </c>
      <c r="D21" s="10" t="str">
        <f t="shared" si="3"/>
        <v>vis</v>
      </c>
      <c r="E21" s="41">
        <f>VLOOKUP(C21,Active!C$21:E$973,3,FALSE)</f>
        <v>5011.0424793081338</v>
      </c>
      <c r="F21" s="13" t="s">
        <v>65</v>
      </c>
      <c r="G21" s="10" t="str">
        <f t="shared" si="4"/>
        <v>42339.27</v>
      </c>
      <c r="H21" s="33">
        <f t="shared" si="5"/>
        <v>-11425</v>
      </c>
      <c r="I21" s="42" t="s">
        <v>98</v>
      </c>
      <c r="J21" s="43" t="s">
        <v>99</v>
      </c>
      <c r="K21" s="42">
        <v>-11425</v>
      </c>
      <c r="L21" s="42" t="s">
        <v>88</v>
      </c>
      <c r="M21" s="43" t="s">
        <v>71</v>
      </c>
      <c r="N21" s="43"/>
      <c r="O21" s="44" t="s">
        <v>72</v>
      </c>
      <c r="P21" s="45" t="s">
        <v>73</v>
      </c>
    </row>
    <row r="22" spans="1:16" ht="12.75" customHeight="1" thickBot="1" x14ac:dyDescent="0.25">
      <c r="A22" s="33" t="str">
        <f t="shared" si="0"/>
        <v>IBVS 1369 </v>
      </c>
      <c r="B22" s="13" t="str">
        <f t="shared" si="1"/>
        <v>I</v>
      </c>
      <c r="C22" s="33">
        <f t="shared" si="2"/>
        <v>42355.22</v>
      </c>
      <c r="D22" s="10" t="str">
        <f t="shared" si="3"/>
        <v>vis</v>
      </c>
      <c r="E22" s="41">
        <f>VLOOKUP(C22,Active!C$21:E$973,3,FALSE)</f>
        <v>5028.9762482690239</v>
      </c>
      <c r="F22" s="13" t="s">
        <v>65</v>
      </c>
      <c r="G22" s="10" t="str">
        <f t="shared" si="4"/>
        <v>42355.22</v>
      </c>
      <c r="H22" s="33">
        <f t="shared" si="5"/>
        <v>-11407</v>
      </c>
      <c r="I22" s="42" t="s">
        <v>100</v>
      </c>
      <c r="J22" s="43" t="s">
        <v>101</v>
      </c>
      <c r="K22" s="42">
        <v>-11407</v>
      </c>
      <c r="L22" s="42" t="s">
        <v>95</v>
      </c>
      <c r="M22" s="43" t="s">
        <v>71</v>
      </c>
      <c r="N22" s="43"/>
      <c r="O22" s="44" t="s">
        <v>72</v>
      </c>
      <c r="P22" s="45" t="s">
        <v>73</v>
      </c>
    </row>
    <row r="23" spans="1:16" ht="12.75" customHeight="1" thickBot="1" x14ac:dyDescent="0.25">
      <c r="A23" s="33" t="str">
        <f t="shared" si="0"/>
        <v>IBVS 1369 </v>
      </c>
      <c r="B23" s="13" t="str">
        <f t="shared" si="1"/>
        <v>I</v>
      </c>
      <c r="C23" s="33">
        <f t="shared" si="2"/>
        <v>42363.17</v>
      </c>
      <c r="D23" s="10" t="str">
        <f t="shared" si="3"/>
        <v>vis</v>
      </c>
      <c r="E23" s="41">
        <f>VLOOKUP(C23,Active!C$21:E$973,3,FALSE)</f>
        <v>5037.9150233937253</v>
      </c>
      <c r="F23" s="13" t="s">
        <v>65</v>
      </c>
      <c r="G23" s="10" t="str">
        <f t="shared" si="4"/>
        <v>42363.17</v>
      </c>
      <c r="H23" s="33">
        <f t="shared" si="5"/>
        <v>-11398</v>
      </c>
      <c r="I23" s="42" t="s">
        <v>102</v>
      </c>
      <c r="J23" s="43" t="s">
        <v>103</v>
      </c>
      <c r="K23" s="42">
        <v>-11398</v>
      </c>
      <c r="L23" s="42" t="s">
        <v>104</v>
      </c>
      <c r="M23" s="43" t="s">
        <v>71</v>
      </c>
      <c r="N23" s="43"/>
      <c r="O23" s="44" t="s">
        <v>72</v>
      </c>
      <c r="P23" s="45" t="s">
        <v>73</v>
      </c>
    </row>
    <row r="24" spans="1:16" ht="12.75" customHeight="1" thickBot="1" x14ac:dyDescent="0.25">
      <c r="A24" s="33" t="str">
        <f t="shared" si="0"/>
        <v>IBVS 1369 </v>
      </c>
      <c r="B24" s="13" t="str">
        <f t="shared" si="1"/>
        <v>I</v>
      </c>
      <c r="C24" s="33">
        <f t="shared" si="2"/>
        <v>42667.38</v>
      </c>
      <c r="D24" s="10" t="str">
        <f t="shared" si="3"/>
        <v>vis</v>
      </c>
      <c r="E24" s="41">
        <f>VLOOKUP(C24,Active!C$21:E$973,3,FALSE)</f>
        <v>5379.960907756782</v>
      </c>
      <c r="F24" s="13" t="s">
        <v>65</v>
      </c>
      <c r="G24" s="10" t="str">
        <f t="shared" si="4"/>
        <v>42667.38</v>
      </c>
      <c r="H24" s="33">
        <f t="shared" si="5"/>
        <v>-11056</v>
      </c>
      <c r="I24" s="42" t="s">
        <v>105</v>
      </c>
      <c r="J24" s="43" t="s">
        <v>106</v>
      </c>
      <c r="K24" s="42">
        <v>-11056</v>
      </c>
      <c r="L24" s="42" t="s">
        <v>85</v>
      </c>
      <c r="M24" s="43" t="s">
        <v>71</v>
      </c>
      <c r="N24" s="43"/>
      <c r="O24" s="44" t="s">
        <v>72</v>
      </c>
      <c r="P24" s="45" t="s">
        <v>73</v>
      </c>
    </row>
    <row r="25" spans="1:16" ht="12.75" customHeight="1" thickBot="1" x14ac:dyDescent="0.25">
      <c r="A25" s="33" t="str">
        <f t="shared" si="0"/>
        <v> BBS 77 </v>
      </c>
      <c r="B25" s="13" t="str">
        <f t="shared" si="1"/>
        <v>I</v>
      </c>
      <c r="C25" s="33">
        <f t="shared" si="2"/>
        <v>46260.544999999998</v>
      </c>
      <c r="D25" s="10" t="str">
        <f t="shared" si="3"/>
        <v>vis</v>
      </c>
      <c r="E25" s="41">
        <f>VLOOKUP(C25,Active!C$21:E$973,3,FALSE)</f>
        <v>9420.0230361792092</v>
      </c>
      <c r="F25" s="13" t="s">
        <v>65</v>
      </c>
      <c r="G25" s="10" t="str">
        <f t="shared" si="4"/>
        <v>46260.545</v>
      </c>
      <c r="H25" s="33">
        <f t="shared" si="5"/>
        <v>-7016</v>
      </c>
      <c r="I25" s="42" t="s">
        <v>107</v>
      </c>
      <c r="J25" s="43" t="s">
        <v>108</v>
      </c>
      <c r="K25" s="42">
        <v>-7016</v>
      </c>
      <c r="L25" s="42" t="s">
        <v>109</v>
      </c>
      <c r="M25" s="43" t="s">
        <v>110</v>
      </c>
      <c r="N25" s="43"/>
      <c r="O25" s="44" t="s">
        <v>111</v>
      </c>
      <c r="P25" s="44" t="s">
        <v>112</v>
      </c>
    </row>
    <row r="26" spans="1:16" ht="12.75" customHeight="1" thickBot="1" x14ac:dyDescent="0.25">
      <c r="A26" s="33" t="str">
        <f t="shared" si="0"/>
        <v> BBS 77 </v>
      </c>
      <c r="B26" s="13" t="str">
        <f t="shared" si="1"/>
        <v>I</v>
      </c>
      <c r="C26" s="33">
        <f t="shared" si="2"/>
        <v>46261.438999999998</v>
      </c>
      <c r="D26" s="10" t="str">
        <f t="shared" si="3"/>
        <v>vis</v>
      </c>
      <c r="E26" s="41">
        <f>VLOOKUP(C26,Active!C$21:E$973,3,FALSE)</f>
        <v>9421.0282267404018</v>
      </c>
      <c r="F26" s="13" t="s">
        <v>65</v>
      </c>
      <c r="G26" s="10" t="str">
        <f t="shared" si="4"/>
        <v>46261.439</v>
      </c>
      <c r="H26" s="33">
        <f t="shared" si="5"/>
        <v>-7015</v>
      </c>
      <c r="I26" s="42" t="s">
        <v>113</v>
      </c>
      <c r="J26" s="43" t="s">
        <v>114</v>
      </c>
      <c r="K26" s="42">
        <v>-7015</v>
      </c>
      <c r="L26" s="42" t="s">
        <v>115</v>
      </c>
      <c r="M26" s="43" t="s">
        <v>110</v>
      </c>
      <c r="N26" s="43"/>
      <c r="O26" s="44" t="s">
        <v>111</v>
      </c>
      <c r="P26" s="44" t="s">
        <v>112</v>
      </c>
    </row>
    <row r="27" spans="1:16" ht="12.75" customHeight="1" thickBot="1" x14ac:dyDescent="0.25">
      <c r="A27" s="33" t="str">
        <f t="shared" si="0"/>
        <v> BBS 77 </v>
      </c>
      <c r="B27" s="13" t="str">
        <f t="shared" si="1"/>
        <v>I</v>
      </c>
      <c r="C27" s="33">
        <f t="shared" si="2"/>
        <v>46268.561000000002</v>
      </c>
      <c r="D27" s="10" t="str">
        <f t="shared" si="3"/>
        <v>vis</v>
      </c>
      <c r="E27" s="41">
        <f>VLOOKUP(C27,Active!C$21:E$973,3,FALSE)</f>
        <v>9429.0360200030646</v>
      </c>
      <c r="F27" s="13" t="s">
        <v>65</v>
      </c>
      <c r="G27" s="10" t="str">
        <f t="shared" si="4"/>
        <v>46268.561</v>
      </c>
      <c r="H27" s="33">
        <f t="shared" si="5"/>
        <v>-7007</v>
      </c>
      <c r="I27" s="42" t="s">
        <v>116</v>
      </c>
      <c r="J27" s="43" t="s">
        <v>117</v>
      </c>
      <c r="K27" s="42">
        <v>-7007</v>
      </c>
      <c r="L27" s="42" t="s">
        <v>118</v>
      </c>
      <c r="M27" s="43" t="s">
        <v>110</v>
      </c>
      <c r="N27" s="43"/>
      <c r="O27" s="44" t="s">
        <v>111</v>
      </c>
      <c r="P27" s="44" t="s">
        <v>112</v>
      </c>
    </row>
    <row r="28" spans="1:16" ht="12.75" customHeight="1" thickBot="1" x14ac:dyDescent="0.25">
      <c r="A28" s="33" t="str">
        <f t="shared" si="0"/>
        <v> BBS 77 </v>
      </c>
      <c r="B28" s="13" t="str">
        <f t="shared" si="1"/>
        <v>I</v>
      </c>
      <c r="C28" s="33">
        <f t="shared" si="2"/>
        <v>46269.442999999999</v>
      </c>
      <c r="D28" s="10" t="str">
        <f t="shared" si="3"/>
        <v>vis</v>
      </c>
      <c r="E28" s="41">
        <f>VLOOKUP(C28,Active!C$21:E$973,3,FALSE)</f>
        <v>9430.0277180735011</v>
      </c>
      <c r="F28" s="13" t="s">
        <v>65</v>
      </c>
      <c r="G28" s="10" t="str">
        <f t="shared" si="4"/>
        <v>46269.443</v>
      </c>
      <c r="H28" s="33">
        <f t="shared" si="5"/>
        <v>-7006</v>
      </c>
      <c r="I28" s="42" t="s">
        <v>119</v>
      </c>
      <c r="J28" s="43" t="s">
        <v>120</v>
      </c>
      <c r="K28" s="42">
        <v>-7006</v>
      </c>
      <c r="L28" s="42" t="s">
        <v>115</v>
      </c>
      <c r="M28" s="43" t="s">
        <v>110</v>
      </c>
      <c r="N28" s="43"/>
      <c r="O28" s="44" t="s">
        <v>111</v>
      </c>
      <c r="P28" s="44" t="s">
        <v>112</v>
      </c>
    </row>
    <row r="29" spans="1:16" ht="12.75" customHeight="1" thickBot="1" x14ac:dyDescent="0.25">
      <c r="A29" s="33" t="str">
        <f t="shared" si="0"/>
        <v> BBS 115 </v>
      </c>
      <c r="B29" s="13" t="str">
        <f t="shared" si="1"/>
        <v>I</v>
      </c>
      <c r="C29" s="33">
        <f t="shared" si="2"/>
        <v>50684.343999999997</v>
      </c>
      <c r="D29" s="10" t="str">
        <f t="shared" si="3"/>
        <v>vis</v>
      </c>
      <c r="E29" s="41">
        <f>VLOOKUP(C29,Active!C$21:E$973,3,FALSE)</f>
        <v>14394.028628366876</v>
      </c>
      <c r="F29" s="13" t="s">
        <v>65</v>
      </c>
      <c r="G29" s="10" t="str">
        <f t="shared" si="4"/>
        <v>50684.344</v>
      </c>
      <c r="H29" s="33">
        <f t="shared" si="5"/>
        <v>-2042</v>
      </c>
      <c r="I29" s="42" t="s">
        <v>121</v>
      </c>
      <c r="J29" s="43" t="s">
        <v>122</v>
      </c>
      <c r="K29" s="42">
        <v>-2042</v>
      </c>
      <c r="L29" s="42" t="s">
        <v>67</v>
      </c>
      <c r="M29" s="43" t="s">
        <v>123</v>
      </c>
      <c r="N29" s="43" t="s">
        <v>124</v>
      </c>
      <c r="O29" s="44" t="s">
        <v>125</v>
      </c>
      <c r="P29" s="44" t="s">
        <v>126</v>
      </c>
    </row>
    <row r="30" spans="1:16" ht="12.75" customHeight="1" thickBot="1" x14ac:dyDescent="0.25">
      <c r="A30" s="33" t="str">
        <f t="shared" si="0"/>
        <v> BBS 116 </v>
      </c>
      <c r="B30" s="13" t="str">
        <f t="shared" si="1"/>
        <v>I</v>
      </c>
      <c r="C30" s="33">
        <f t="shared" si="2"/>
        <v>50700.357799999998</v>
      </c>
      <c r="D30" s="10" t="str">
        <f t="shared" si="3"/>
        <v>vis</v>
      </c>
      <c r="E30" s="41">
        <f>VLOOKUP(C30,Active!C$21:E$973,3,FALSE)</f>
        <v>14412.034132403605</v>
      </c>
      <c r="F30" s="13" t="s">
        <v>65</v>
      </c>
      <c r="G30" s="10" t="str">
        <f t="shared" si="4"/>
        <v>50700.3578</v>
      </c>
      <c r="H30" s="33">
        <f t="shared" si="5"/>
        <v>-2024</v>
      </c>
      <c r="I30" s="42" t="s">
        <v>127</v>
      </c>
      <c r="J30" s="43" t="s">
        <v>128</v>
      </c>
      <c r="K30" s="42">
        <v>-2024</v>
      </c>
      <c r="L30" s="42" t="s">
        <v>129</v>
      </c>
      <c r="M30" s="43" t="s">
        <v>123</v>
      </c>
      <c r="N30" s="43" t="s">
        <v>124</v>
      </c>
      <c r="O30" s="44" t="s">
        <v>130</v>
      </c>
      <c r="P30" s="44" t="s">
        <v>131</v>
      </c>
    </row>
    <row r="31" spans="1:16" ht="12.75" customHeight="1" thickBot="1" x14ac:dyDescent="0.25">
      <c r="A31" s="33" t="str">
        <f t="shared" si="0"/>
        <v>IBVS 4888 </v>
      </c>
      <c r="B31" s="13" t="str">
        <f t="shared" si="1"/>
        <v>I</v>
      </c>
      <c r="C31" s="33">
        <f t="shared" si="2"/>
        <v>51036.545100000003</v>
      </c>
      <c r="D31" s="10" t="str">
        <f t="shared" si="3"/>
        <v>vis</v>
      </c>
      <c r="E31" s="41">
        <f>VLOOKUP(C31,Active!C$21:E$973,3,FALSE)</f>
        <v>14790.03446881638</v>
      </c>
      <c r="F31" s="13" t="s">
        <v>65</v>
      </c>
      <c r="G31" s="10" t="str">
        <f t="shared" si="4"/>
        <v>51036.5451</v>
      </c>
      <c r="H31" s="33">
        <f t="shared" si="5"/>
        <v>-1646</v>
      </c>
      <c r="I31" s="42" t="s">
        <v>132</v>
      </c>
      <c r="J31" s="43" t="s">
        <v>133</v>
      </c>
      <c r="K31" s="42">
        <v>-1646</v>
      </c>
      <c r="L31" s="42" t="s">
        <v>134</v>
      </c>
      <c r="M31" s="43" t="s">
        <v>123</v>
      </c>
      <c r="N31" s="43" t="s">
        <v>124</v>
      </c>
      <c r="O31" s="44" t="s">
        <v>135</v>
      </c>
      <c r="P31" s="45" t="s">
        <v>136</v>
      </c>
    </row>
    <row r="32" spans="1:16" ht="12.75" customHeight="1" thickBot="1" x14ac:dyDescent="0.25">
      <c r="A32" s="33" t="str">
        <f t="shared" si="0"/>
        <v>IBVS 4888 </v>
      </c>
      <c r="B32" s="13" t="str">
        <f t="shared" si="1"/>
        <v>I</v>
      </c>
      <c r="C32" s="33">
        <f t="shared" si="2"/>
        <v>51045.434699999998</v>
      </c>
      <c r="D32" s="10" t="str">
        <f t="shared" si="3"/>
        <v>vis</v>
      </c>
      <c r="E32" s="41">
        <f>VLOOKUP(C32,Active!C$21:E$973,3,FALSE)</f>
        <v>14800.029705967137</v>
      </c>
      <c r="F32" s="13" t="s">
        <v>65</v>
      </c>
      <c r="G32" s="10" t="str">
        <f t="shared" si="4"/>
        <v>51045.4347</v>
      </c>
      <c r="H32" s="33">
        <f t="shared" si="5"/>
        <v>-1636</v>
      </c>
      <c r="I32" s="42" t="s">
        <v>137</v>
      </c>
      <c r="J32" s="43" t="s">
        <v>138</v>
      </c>
      <c r="K32" s="42">
        <v>-1636</v>
      </c>
      <c r="L32" s="42" t="s">
        <v>139</v>
      </c>
      <c r="M32" s="43" t="s">
        <v>123</v>
      </c>
      <c r="N32" s="43" t="s">
        <v>124</v>
      </c>
      <c r="O32" s="44" t="s">
        <v>140</v>
      </c>
      <c r="P32" s="45" t="s">
        <v>136</v>
      </c>
    </row>
    <row r="33" spans="1:16" ht="12.75" customHeight="1" thickBot="1" x14ac:dyDescent="0.25">
      <c r="A33" s="33" t="str">
        <f t="shared" si="0"/>
        <v>IBVS 5287 </v>
      </c>
      <c r="B33" s="13" t="str">
        <f t="shared" si="1"/>
        <v>I</v>
      </c>
      <c r="C33" s="33">
        <f t="shared" si="2"/>
        <v>51777.404000000002</v>
      </c>
      <c r="D33" s="10" t="str">
        <f t="shared" si="3"/>
        <v>vis</v>
      </c>
      <c r="E33" s="41">
        <f>VLOOKUP(C33,Active!C$21:E$973,3,FALSE)</f>
        <v>15623.03712368881</v>
      </c>
      <c r="F33" s="13" t="s">
        <v>65</v>
      </c>
      <c r="G33" s="10" t="str">
        <f t="shared" si="4"/>
        <v>51777.4040</v>
      </c>
      <c r="H33" s="33">
        <f t="shared" si="5"/>
        <v>-813</v>
      </c>
      <c r="I33" s="42" t="s">
        <v>141</v>
      </c>
      <c r="J33" s="43" t="s">
        <v>142</v>
      </c>
      <c r="K33" s="42">
        <v>-813</v>
      </c>
      <c r="L33" s="42" t="s">
        <v>143</v>
      </c>
      <c r="M33" s="43" t="s">
        <v>123</v>
      </c>
      <c r="N33" s="43" t="s">
        <v>124</v>
      </c>
      <c r="O33" s="44" t="s">
        <v>140</v>
      </c>
      <c r="P33" s="45" t="s">
        <v>144</v>
      </c>
    </row>
    <row r="34" spans="1:16" ht="12.75" customHeight="1" thickBot="1" x14ac:dyDescent="0.25">
      <c r="A34" s="33" t="str">
        <f t="shared" si="0"/>
        <v>BAVM 209 </v>
      </c>
      <c r="B34" s="13" t="str">
        <f t="shared" si="1"/>
        <v>I</v>
      </c>
      <c r="C34" s="33">
        <f t="shared" si="2"/>
        <v>54671.464899999999</v>
      </c>
      <c r="D34" s="10" t="str">
        <f t="shared" si="3"/>
        <v>vis</v>
      </c>
      <c r="E34" s="41">
        <f>VLOOKUP(C34,Active!C$21:E$973,3,FALSE)</f>
        <v>18877.044618317672</v>
      </c>
      <c r="F34" s="13" t="s">
        <v>65</v>
      </c>
      <c r="G34" s="10" t="str">
        <f t="shared" si="4"/>
        <v>54671.4649</v>
      </c>
      <c r="H34" s="33">
        <f t="shared" si="5"/>
        <v>2441</v>
      </c>
      <c r="I34" s="42" t="s">
        <v>149</v>
      </c>
      <c r="J34" s="43" t="s">
        <v>150</v>
      </c>
      <c r="K34" s="42">
        <v>2441</v>
      </c>
      <c r="L34" s="42" t="s">
        <v>151</v>
      </c>
      <c r="M34" s="43" t="s">
        <v>152</v>
      </c>
      <c r="N34" s="43" t="s">
        <v>153</v>
      </c>
      <c r="O34" s="44" t="s">
        <v>154</v>
      </c>
      <c r="P34" s="45" t="s">
        <v>155</v>
      </c>
    </row>
    <row r="35" spans="1:16" ht="12.75" customHeight="1" thickBot="1" x14ac:dyDescent="0.25">
      <c r="A35" s="33" t="str">
        <f t="shared" si="0"/>
        <v>IBVS 6011 </v>
      </c>
      <c r="B35" s="13" t="str">
        <f t="shared" si="1"/>
        <v>II</v>
      </c>
      <c r="C35" s="33">
        <f t="shared" si="2"/>
        <v>55847.675000000003</v>
      </c>
      <c r="D35" s="10" t="str">
        <f t="shared" si="3"/>
        <v>vis</v>
      </c>
      <c r="E35" s="41">
        <f>VLOOKUP(C35,Active!C$21:E$973,3,FALSE)</f>
        <v>20199.544943261826</v>
      </c>
      <c r="F35" s="13" t="s">
        <v>65</v>
      </c>
      <c r="G35" s="10" t="str">
        <f t="shared" si="4"/>
        <v>55847.675</v>
      </c>
      <c r="H35" s="33">
        <f t="shared" si="5"/>
        <v>3763.5</v>
      </c>
      <c r="I35" s="42" t="s">
        <v>163</v>
      </c>
      <c r="J35" s="43" t="s">
        <v>164</v>
      </c>
      <c r="K35" s="42" t="s">
        <v>165</v>
      </c>
      <c r="L35" s="42" t="s">
        <v>166</v>
      </c>
      <c r="M35" s="43" t="s">
        <v>152</v>
      </c>
      <c r="N35" s="43" t="s">
        <v>65</v>
      </c>
      <c r="O35" s="44" t="s">
        <v>130</v>
      </c>
      <c r="P35" s="45" t="s">
        <v>167</v>
      </c>
    </row>
    <row r="36" spans="1:16" ht="12.75" customHeight="1" thickBot="1" x14ac:dyDescent="0.25">
      <c r="A36" s="33" t="str">
        <f t="shared" si="0"/>
        <v> BBS 126 </v>
      </c>
      <c r="B36" s="13" t="str">
        <f t="shared" si="1"/>
        <v>I</v>
      </c>
      <c r="C36" s="33">
        <f t="shared" si="2"/>
        <v>52147.385999999999</v>
      </c>
      <c r="D36" s="10" t="str">
        <f t="shared" si="3"/>
        <v>vis</v>
      </c>
      <c r="E36" s="41">
        <f>VLOOKUP(C36,Active!C$21:E$973,3,FALSE)</f>
        <v>16039.035349876021</v>
      </c>
      <c r="F36" s="13" t="s">
        <v>65</v>
      </c>
      <c r="G36" s="10" t="str">
        <f t="shared" si="4"/>
        <v>52147.386</v>
      </c>
      <c r="H36" s="33">
        <f t="shared" si="5"/>
        <v>-397</v>
      </c>
      <c r="I36" s="42" t="s">
        <v>145</v>
      </c>
      <c r="J36" s="43" t="s">
        <v>146</v>
      </c>
      <c r="K36" s="42">
        <v>-397</v>
      </c>
      <c r="L36" s="42" t="s">
        <v>147</v>
      </c>
      <c r="M36" s="43" t="s">
        <v>123</v>
      </c>
      <c r="N36" s="43" t="s">
        <v>124</v>
      </c>
      <c r="O36" s="44" t="s">
        <v>130</v>
      </c>
      <c r="P36" s="44" t="s">
        <v>148</v>
      </c>
    </row>
    <row r="37" spans="1:16" ht="12.75" customHeight="1" thickBot="1" x14ac:dyDescent="0.25">
      <c r="A37" s="33" t="str">
        <f t="shared" si="0"/>
        <v>OEJV 0137 </v>
      </c>
      <c r="B37" s="13" t="str">
        <f t="shared" si="1"/>
        <v>I</v>
      </c>
      <c r="C37" s="33">
        <f t="shared" si="2"/>
        <v>55082.3603</v>
      </c>
      <c r="D37" s="10" t="str">
        <f t="shared" si="3"/>
        <v>vis</v>
      </c>
      <c r="E37" s="41">
        <f>VLOOKUP(C37,Active!C$21:E$973,3,FALSE)</f>
        <v>19339.044817107035</v>
      </c>
      <c r="F37" s="13" t="s">
        <v>65</v>
      </c>
      <c r="G37" s="10" t="str">
        <f t="shared" si="4"/>
        <v>55082.3603</v>
      </c>
      <c r="H37" s="33">
        <f t="shared" si="5"/>
        <v>2903</v>
      </c>
      <c r="I37" s="42" t="s">
        <v>156</v>
      </c>
      <c r="J37" s="43" t="s">
        <v>157</v>
      </c>
      <c r="K37" s="42" t="s">
        <v>158</v>
      </c>
      <c r="L37" s="42" t="s">
        <v>159</v>
      </c>
      <c r="M37" s="43" t="s">
        <v>152</v>
      </c>
      <c r="N37" s="43" t="s">
        <v>160</v>
      </c>
      <c r="O37" s="44" t="s">
        <v>161</v>
      </c>
      <c r="P37" s="45" t="s">
        <v>162</v>
      </c>
    </row>
    <row r="38" spans="1:16" x14ac:dyDescent="0.2">
      <c r="B38" s="13"/>
      <c r="F38" s="13"/>
    </row>
    <row r="39" spans="1:16" x14ac:dyDescent="0.2">
      <c r="B39" s="13"/>
      <c r="F39" s="13"/>
    </row>
    <row r="40" spans="1:16" x14ac:dyDescent="0.2">
      <c r="B40" s="13"/>
      <c r="F40" s="13"/>
    </row>
    <row r="41" spans="1:16" x14ac:dyDescent="0.2">
      <c r="B41" s="13"/>
      <c r="F41" s="13"/>
    </row>
    <row r="42" spans="1:16" x14ac:dyDescent="0.2">
      <c r="B42" s="13"/>
      <c r="F42" s="13"/>
    </row>
    <row r="43" spans="1:16" x14ac:dyDescent="0.2">
      <c r="B43" s="13"/>
      <c r="F43" s="13"/>
    </row>
    <row r="44" spans="1:16" x14ac:dyDescent="0.2">
      <c r="B44" s="13"/>
      <c r="F44" s="13"/>
    </row>
    <row r="45" spans="1:16" x14ac:dyDescent="0.2">
      <c r="B45" s="13"/>
      <c r="F45" s="13"/>
    </row>
    <row r="46" spans="1:16" x14ac:dyDescent="0.2">
      <c r="B46" s="13"/>
      <c r="F46" s="13"/>
    </row>
    <row r="47" spans="1:16" x14ac:dyDescent="0.2">
      <c r="B47" s="13"/>
      <c r="F47" s="13"/>
    </row>
    <row r="48" spans="1:16" x14ac:dyDescent="0.2">
      <c r="B48" s="13"/>
      <c r="F48" s="13"/>
    </row>
    <row r="49" spans="2:6" x14ac:dyDescent="0.2">
      <c r="B49" s="13"/>
      <c r="F49" s="13"/>
    </row>
    <row r="50" spans="2:6" x14ac:dyDescent="0.2">
      <c r="B50" s="13"/>
      <c r="F50" s="13"/>
    </row>
    <row r="51" spans="2:6" x14ac:dyDescent="0.2">
      <c r="B51" s="13"/>
      <c r="F51" s="13"/>
    </row>
    <row r="52" spans="2:6" x14ac:dyDescent="0.2">
      <c r="B52" s="13"/>
      <c r="F52" s="13"/>
    </row>
    <row r="53" spans="2:6" x14ac:dyDescent="0.2">
      <c r="B53" s="13"/>
      <c r="F53" s="13"/>
    </row>
    <row r="54" spans="2:6" x14ac:dyDescent="0.2">
      <c r="B54" s="13"/>
      <c r="F54" s="13"/>
    </row>
    <row r="55" spans="2:6" x14ac:dyDescent="0.2">
      <c r="B55" s="13"/>
      <c r="F55" s="13"/>
    </row>
    <row r="56" spans="2:6" x14ac:dyDescent="0.2">
      <c r="B56" s="13"/>
      <c r="F56" s="13"/>
    </row>
    <row r="57" spans="2:6" x14ac:dyDescent="0.2">
      <c r="B57" s="13"/>
      <c r="F57" s="13"/>
    </row>
    <row r="58" spans="2:6" x14ac:dyDescent="0.2">
      <c r="B58" s="13"/>
      <c r="F58" s="13"/>
    </row>
    <row r="59" spans="2:6" x14ac:dyDescent="0.2">
      <c r="B59" s="13"/>
      <c r="F59" s="13"/>
    </row>
    <row r="60" spans="2:6" x14ac:dyDescent="0.2">
      <c r="B60" s="13"/>
      <c r="F60" s="13"/>
    </row>
    <row r="61" spans="2:6" x14ac:dyDescent="0.2">
      <c r="B61" s="13"/>
      <c r="F61" s="13"/>
    </row>
    <row r="62" spans="2:6" x14ac:dyDescent="0.2">
      <c r="B62" s="13"/>
      <c r="F62" s="13"/>
    </row>
    <row r="63" spans="2:6" x14ac:dyDescent="0.2">
      <c r="B63" s="13"/>
      <c r="F63" s="13"/>
    </row>
    <row r="64" spans="2: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</sheetData>
  <phoneticPr fontId="8" type="noConversion"/>
  <hyperlinks>
    <hyperlink ref="A3" r:id="rId1"/>
    <hyperlink ref="P11" r:id="rId2" display="http://www.konkoly.hu/cgi-bin/IBVS?1369"/>
    <hyperlink ref="P12" r:id="rId3" display="http://www.konkoly.hu/cgi-bin/IBVS?1369"/>
    <hyperlink ref="P13" r:id="rId4" display="http://www.konkoly.hu/cgi-bin/IBVS?1369"/>
    <hyperlink ref="P14" r:id="rId5" display="http://www.konkoly.hu/cgi-bin/IBVS?1369"/>
    <hyperlink ref="P15" r:id="rId6" display="http://www.konkoly.hu/cgi-bin/IBVS?1369"/>
    <hyperlink ref="P16" r:id="rId7" display="http://www.konkoly.hu/cgi-bin/IBVS?1369"/>
    <hyperlink ref="P17" r:id="rId8" display="http://www.konkoly.hu/cgi-bin/IBVS?1369"/>
    <hyperlink ref="P18" r:id="rId9" display="http://www.konkoly.hu/cgi-bin/IBVS?1369"/>
    <hyperlink ref="P19" r:id="rId10" display="http://www.konkoly.hu/cgi-bin/IBVS?1369"/>
    <hyperlink ref="P20" r:id="rId11" display="http://www.konkoly.hu/cgi-bin/IBVS?1369"/>
    <hyperlink ref="P21" r:id="rId12" display="http://www.konkoly.hu/cgi-bin/IBVS?1369"/>
    <hyperlink ref="P22" r:id="rId13" display="http://www.konkoly.hu/cgi-bin/IBVS?1369"/>
    <hyperlink ref="P23" r:id="rId14" display="http://www.konkoly.hu/cgi-bin/IBVS?1369"/>
    <hyperlink ref="P24" r:id="rId15" display="http://www.konkoly.hu/cgi-bin/IBVS?1369"/>
    <hyperlink ref="P31" r:id="rId16" display="http://www.konkoly.hu/cgi-bin/IBVS?4888"/>
    <hyperlink ref="P32" r:id="rId17" display="http://www.konkoly.hu/cgi-bin/IBVS?4888"/>
    <hyperlink ref="P33" r:id="rId18" display="http://www.konkoly.hu/cgi-bin/IBVS?5287"/>
    <hyperlink ref="P34" r:id="rId19" display="http://www.bav-astro.de/sfs/BAVM_link.php?BAVMnr=209"/>
    <hyperlink ref="P37" r:id="rId20" display="http://var.astro.cz/oejv/issues/oejv0137.pdf"/>
    <hyperlink ref="P35" r:id="rId21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2024-01-11T05:50:38Z</dcterms:modified>
</cp:coreProperties>
</file>