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6F49A04D-C715-46CB-BE41-1D14581003A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Q22" i="1"/>
  <c r="Q23" i="1"/>
  <c r="F11" i="1"/>
  <c r="C21" i="1"/>
  <c r="E21" i="1"/>
  <c r="F21" i="1"/>
  <c r="G21" i="1"/>
  <c r="H21" i="1"/>
  <c r="A21" i="1"/>
  <c r="H20" i="1"/>
  <c r="G11" i="1"/>
  <c r="E14" i="1"/>
  <c r="C17" i="1"/>
  <c r="Q21" i="1"/>
  <c r="C11" i="1"/>
  <c r="E15" i="1" l="1"/>
  <c r="C12" i="1"/>
  <c r="C16" i="1" l="1"/>
  <c r="D18" i="1" s="1"/>
  <c r="O22" i="1"/>
  <c r="S22" i="1" s="1"/>
  <c r="C15" i="1"/>
  <c r="O23" i="1"/>
  <c r="S23" i="1" s="1"/>
  <c r="O21" i="1"/>
  <c r="S21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<sst xmlns="http://schemas.openxmlformats.org/spreadsheetml/2006/main" count="57" uniqueCount="52">
  <si>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</si>
  <si>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</si>
  <si>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</si>
  <si>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</si>
  <si>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</si>
  <si>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</si>
  <si>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</si>
  <si>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</si>
  <si>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</si>
  <si>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</si>
  <si>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</si>
  <si>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</si>
  <si>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</si>
  <si>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</si>
  <si>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</si>
  <si>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</si>
  <si>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</si>
  <si>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</si>
  <si>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</si>
  <si>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</si>
  <si>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</si>
  <si>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</si>
  <si>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</si>
  <si>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</si>
  <si>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</si>
  <si>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</si>
  <si>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</si>
  <si>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</si>
  <si>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</si>
  <si>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</si>
  <si>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</si>
  <si>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</si>
  <si>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</si>
  <si>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</si>
  <si>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</si>
  <si>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</si>
  <si>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</si>
  <si>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</si>
  <si>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</si>
  <si>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</si>
  <si>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</si>
  <si>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G5820-1011</t>
  </si>
  <si>
    <t>GSC 5820-1011</t>
  </si>
  <si>
    <t>G5820-1011_Aqr.xls</t>
  </si>
  <si>
    <t>EC</t>
  </si>
  <si>
    <t>Aqr</t>
  </si>
  <si>
    <t>VSX</t>
  </si>
  <si>
    <t>OEJV 0155</t>
  </si>
  <si>
    <t>I</t>
  </si>
  <si>
    <t>IBVS 6011</t>
  </si>
  <si>
    <t>CCD</t>
  </si>
  <si>
    <t>S3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</si>
</sst>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</font>
    <font>
      <sz val="10"/>
      <color indexed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0" fillId="2" borderId="0" xfId="0" applyFill="1">
      <alignment vertical="top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top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5820-1011 -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8140</c:v>
                </c:pt>
                <c:pt idx="2">
                  <c:v>10128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114-4F72-BB11-AF6DF6B5E8F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8140</c:v>
                </c:pt>
                <c:pt idx="2">
                  <c:v>10128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-1.2999999962630682E-3</c:v>
                </c:pt>
                <c:pt idx="2">
                  <c:v>-5.2599999980884604E-3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114-4F72-BB11-AF6DF6B5E8F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8140</c:v>
                </c:pt>
                <c:pt idx="2">
                  <c:v>10128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114-4F72-BB11-AF6DF6B5E8F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8140</c:v>
                </c:pt>
                <c:pt idx="2">
                  <c:v>10128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114-4F72-BB11-AF6DF6B5E8F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8140</c:v>
                </c:pt>
                <c:pt idx="2">
                  <c:v>10128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114-4F72-BB11-AF6DF6B5E8F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8140</c:v>
                </c:pt>
                <c:pt idx="2">
                  <c:v>10128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114-4F72-BB11-AF6DF6B5E8F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8140</c:v>
                </c:pt>
                <c:pt idx="2">
                  <c:v>10128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114-4F72-BB11-AF6DF6B5E8F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8140</c:v>
                </c:pt>
                <c:pt idx="2">
                  <c:v>10128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3.4113570606140228E-4</c:v>
                </c:pt>
                <c:pt idx="1">
                  <c:v>-3.0379388448495289E-3</c:v>
                </c:pt>
                <c:pt idx="2">
                  <c:v>-3.8631968555634024E-3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114-4F72-BB11-AF6DF6B5E8FC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8140</c:v>
                </c:pt>
                <c:pt idx="2">
                  <c:v>10128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114-4F72-BB11-AF6DF6B5E8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9327432"/>
        <c:axId val="1"/>
      </c:scatterChart>
      <c:valAx>
        <c:axId val="5293274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93274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548872180451127"/>
          <c:y val="0.92375366568914952"/>
          <c:w val="0.7548872180451128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E6D6BC6-51A1-C80C-CCA4-F8D860E776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selection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  <c r="E1" t="s">
        <v>43</v>
      </c>
    </row>
    <row r="2" spans="1:7" x14ac:dyDescent="0.2">
      <c r="A2" t="s">
        <v>23</v>
      </c>
      <c r="B2" t="s">
        <v>44</v>
      </c>
      <c r="C2" s="31" t="s">
        <v>40</v>
      </c>
      <c r="D2" s="3" t="s">
        <v>45</v>
      </c>
      <c r="E2" s="32" t="s">
        <v>41</v>
      </c>
      <c r="F2" t="s">
        <v>41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39</v>
      </c>
      <c r="D4" s="29" t="s">
        <v>39</v>
      </c>
    </row>
    <row r="6" spans="1:7" x14ac:dyDescent="0.2">
      <c r="A6" s="5" t="s">
        <v>1</v>
      </c>
    </row>
    <row r="7" spans="1:7" x14ac:dyDescent="0.2">
      <c r="A7" t="s">
        <v>2</v>
      </c>
      <c r="C7" s="8">
        <v>51870.74</v>
      </c>
      <c r="D7" s="30" t="s">
        <v>46</v>
      </c>
    </row>
    <row r="8" spans="1:7" x14ac:dyDescent="0.2">
      <c r="A8" t="s">
        <v>3</v>
      </c>
      <c r="C8" s="8">
        <v>0.394845</v>
      </c>
      <c r="D8" s="30" t="s">
        <v>46</v>
      </c>
    </row>
    <row r="9" spans="1:7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3.4113570606140228E-4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-4.151197236991316E-7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36</v>
      </c>
      <c r="E13" s="11">
        <v>1</v>
      </c>
    </row>
    <row r="14" spans="1:7" x14ac:dyDescent="0.2">
      <c r="A14" s="10"/>
      <c r="B14" s="10"/>
      <c r="C14" s="10"/>
      <c r="D14" s="14" t="s">
        <v>31</v>
      </c>
      <c r="E14" s="15">
        <f ca="1">NOW()+15018.5+$C$9/24</f>
        <v>60320.795026967593</v>
      </c>
    </row>
    <row r="15" spans="1:7" x14ac:dyDescent="0.2">
      <c r="A15" s="12" t="s">
        <v>17</v>
      </c>
      <c r="B15" s="10"/>
      <c r="C15" s="13">
        <f ca="1">(C7+C11)+(C8+C12)*INT(MAX(F21:F3533))</f>
        <v>55869.726296803143</v>
      </c>
      <c r="D15" s="14" t="s">
        <v>37</v>
      </c>
      <c r="E15" s="15">
        <f ca="1">ROUND(2*(E14-$C$7)/$C$8,0)/2+E13</f>
        <v>21402</v>
      </c>
    </row>
    <row r="16" spans="1:7" x14ac:dyDescent="0.2">
      <c r="A16" s="16" t="s">
        <v>4</v>
      </c>
      <c r="B16" s="10"/>
      <c r="C16" s="17">
        <f ca="1">+C8+C12</f>
        <v>0.39484458488027629</v>
      </c>
      <c r="D16" s="14" t="s">
        <v>38</v>
      </c>
      <c r="E16" s="24">
        <f ca="1">ROUND(2*(E14-$C$15)/$C$16,0)/2+E13</f>
        <v>11274</v>
      </c>
    </row>
    <row r="17" spans="1:19" ht="13.5" thickBot="1" x14ac:dyDescent="0.25">
      <c r="A17" s="14" t="s">
        <v>28</v>
      </c>
      <c r="B17" s="10"/>
      <c r="C17" s="10">
        <f>COUNT(C21:C2191)</f>
        <v>3</v>
      </c>
      <c r="D17" s="14" t="s">
        <v>32</v>
      </c>
      <c r="E17" s="18">
        <f ca="1">+$C$15+$C$16*E16-15018.5-$C$9/24</f>
        <v>45303.099980076709</v>
      </c>
    </row>
    <row r="18" spans="1:19" ht="14.25" thickTop="1" thickBot="1" x14ac:dyDescent="0.25">
      <c r="A18" s="16" t="s">
        <v>5</v>
      </c>
      <c r="B18" s="10"/>
      <c r="C18" s="19">
        <f ca="1">+C15</f>
        <v>55869.726296803143</v>
      </c>
      <c r="D18" s="20">
        <f ca="1">+C16</f>
        <v>0.39484458488027629</v>
      </c>
      <c r="E18" s="21" t="s">
        <v>33</v>
      </c>
    </row>
    <row r="19" spans="1:19" ht="13.5" thickTop="1" x14ac:dyDescent="0.2">
      <c r="A19" s="25" t="s">
        <v>34</v>
      </c>
      <c r="E19" s="26">
        <v>21</v>
      </c>
      <c r="S19">
        <f ca="1">SQRT(SUM(S21:S50)/(COUNT(S21:S50)-1))</f>
        <v>1.5949708508847303E-3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50</v>
      </c>
      <c r="J20" s="7" t="s">
        <v>51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35</v>
      </c>
    </row>
    <row r="21" spans="1:19" x14ac:dyDescent="0.2">
      <c r="A21" t="str">
        <f>D7</f>
        <v>VSX</v>
      </c>
      <c r="C21" s="8">
        <f>C$7</f>
        <v>51870.74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3.4113570606140228E-4</v>
      </c>
      <c r="Q21" s="2">
        <f>+C21-15018.5</f>
        <v>36852.239999999998</v>
      </c>
      <c r="S21">
        <f ca="1">+(O21-G21)^2</f>
        <v>1.1637356995001146E-7</v>
      </c>
    </row>
    <row r="22" spans="1:19" x14ac:dyDescent="0.2">
      <c r="A22" s="33" t="s">
        <v>47</v>
      </c>
      <c r="B22" s="34" t="s">
        <v>48</v>
      </c>
      <c r="C22" s="35">
        <v>55084.777000000002</v>
      </c>
      <c r="D22" s="38">
        <v>2.9999999999999997E-4</v>
      </c>
      <c r="E22">
        <f>+(C22-C$7)/C$8</f>
        <v>8139.9967075688028</v>
      </c>
      <c r="F22">
        <f>ROUND(2*E22,0)/2</f>
        <v>8140</v>
      </c>
      <c r="G22">
        <f>+C22-(C$7+F22*C$8)</f>
        <v>-1.2999999962630682E-3</v>
      </c>
      <c r="I22">
        <f>+G22</f>
        <v>-1.2999999962630682E-3</v>
      </c>
      <c r="O22">
        <f ca="1">+C$11+C$12*$F22</f>
        <v>-3.0379388448495289E-3</v>
      </c>
      <c r="Q22" s="2">
        <f>+C22-15018.5</f>
        <v>40066.277000000002</v>
      </c>
      <c r="S22">
        <f ca="1">+(O22-G22)^2</f>
        <v>3.0204314414260329E-6</v>
      </c>
    </row>
    <row r="23" spans="1:19" x14ac:dyDescent="0.2">
      <c r="A23" s="36" t="s">
        <v>49</v>
      </c>
      <c r="B23" s="37" t="s">
        <v>48</v>
      </c>
      <c r="C23" s="36">
        <v>55869.724900000001</v>
      </c>
      <c r="D23" s="36">
        <v>2.9999999999999997E-4</v>
      </c>
      <c r="E23">
        <f>+(C23-C$7)/C$8</f>
        <v>10127.986678316816</v>
      </c>
      <c r="F23">
        <f>ROUND(2*E23,0)/2</f>
        <v>10128</v>
      </c>
      <c r="G23">
        <f>+C23-(C$7+F23*C$8)</f>
        <v>-5.2599999980884604E-3</v>
      </c>
      <c r="I23">
        <f>+G23</f>
        <v>-5.2599999980884604E-3</v>
      </c>
      <c r="O23">
        <f ca="1">+C$11+C$12*$F23</f>
        <v>-3.8631968555634024E-3</v>
      </c>
      <c r="Q23" s="2">
        <f>+C23-15018.5</f>
        <v>40851.224900000001</v>
      </c>
      <c r="S23">
        <f ca="1">+(O23-G23)^2</f>
        <v>1.9510590189678775E-6</v>
      </c>
    </row>
    <row r="24" spans="1:19" x14ac:dyDescent="0.2">
      <c r="C24" s="8"/>
      <c r="D24" s="8"/>
      <c r="Q24" s="2"/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2024-01-11T06:04:50Z</dcterms:modified>
</cp:coreProperties>
</file>