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C4B32D7-2D0A-417D-8393-3E99DEF190F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" sheetId="2" r:id="rId2"/>
    <sheet name="C" sheetId="3" r:id="rId3"/>
    <sheet name="BAV" sheetId="4" r:id="rId4"/>
  </sheets>
  <calcPr calcId="181029"/>
</workbook>
</file>

<file path=xl/calcChain.xml><?xml version="1.0" encoding="utf-8"?>
<calcChain xmlns="http://schemas.openxmlformats.org/spreadsheetml/2006/main">
  <c r="H16" i="4" l="1"/>
  <c r="B16" i="4"/>
  <c r="G16" i="4"/>
  <c r="C16" i="4"/>
  <c r="E16" i="4"/>
  <c r="D16" i="4"/>
  <c r="A16" i="4"/>
  <c r="H15" i="4"/>
  <c r="G15" i="4"/>
  <c r="D15" i="4"/>
  <c r="C15" i="4"/>
  <c r="E15" i="4"/>
  <c r="B15" i="4"/>
  <c r="A15" i="4"/>
  <c r="H14" i="4"/>
  <c r="G14" i="4"/>
  <c r="C14" i="4"/>
  <c r="E14" i="4"/>
  <c r="D14" i="4"/>
  <c r="B14" i="4"/>
  <c r="A14" i="4"/>
  <c r="H13" i="4"/>
  <c r="B13" i="4"/>
  <c r="G13" i="4"/>
  <c r="D13" i="4"/>
  <c r="C13" i="4"/>
  <c r="E13" i="4"/>
  <c r="A13" i="4"/>
  <c r="H12" i="4"/>
  <c r="B12" i="4"/>
  <c r="G12" i="4"/>
  <c r="C12" i="4"/>
  <c r="E12" i="4"/>
  <c r="D12" i="4"/>
  <c r="A12" i="4"/>
  <c r="H11" i="4"/>
  <c r="G11" i="4"/>
  <c r="D11" i="4"/>
  <c r="C11" i="4"/>
  <c r="E11" i="4"/>
  <c r="B11" i="4"/>
  <c r="A11" i="4"/>
  <c r="F11" i="3"/>
  <c r="F11" i="2"/>
  <c r="Q26" i="1"/>
  <c r="E26" i="1"/>
  <c r="F26" i="1"/>
  <c r="G26" i="1"/>
  <c r="I26" i="1"/>
  <c r="E21" i="3"/>
  <c r="F21" i="3"/>
  <c r="G21" i="3"/>
  <c r="K21" i="3"/>
  <c r="E22" i="3"/>
  <c r="F22" i="3"/>
  <c r="G22" i="3"/>
  <c r="K22" i="3"/>
  <c r="E23" i="3"/>
  <c r="F23" i="3"/>
  <c r="G23" i="3"/>
  <c r="K23" i="3"/>
  <c r="E24" i="3"/>
  <c r="F24" i="3"/>
  <c r="G24" i="3"/>
  <c r="K24" i="3"/>
  <c r="E25" i="3"/>
  <c r="F25" i="3"/>
  <c r="G25" i="3"/>
  <c r="K25" i="3"/>
  <c r="E26" i="3"/>
  <c r="F26" i="3"/>
  <c r="G26" i="3"/>
  <c r="K26" i="3"/>
  <c r="G11" i="3"/>
  <c r="E14" i="3"/>
  <c r="E15" i="3" s="1"/>
  <c r="C17" i="3"/>
  <c r="Q21" i="3"/>
  <c r="Q22" i="3"/>
  <c r="Q23" i="3"/>
  <c r="Q24" i="3"/>
  <c r="Q25" i="3"/>
  <c r="Q26" i="3"/>
  <c r="E14" i="2"/>
  <c r="E15" i="2" s="1"/>
  <c r="E26" i="2"/>
  <c r="F26" i="2"/>
  <c r="G26" i="2"/>
  <c r="I26" i="2"/>
  <c r="Q26" i="2"/>
  <c r="G11" i="2"/>
  <c r="C17" i="2"/>
  <c r="E21" i="2"/>
  <c r="F21" i="2"/>
  <c r="G21" i="2"/>
  <c r="H21" i="2"/>
  <c r="E22" i="2"/>
  <c r="F22" i="2"/>
  <c r="G22" i="2"/>
  <c r="H22" i="2"/>
  <c r="E23" i="2"/>
  <c r="F23" i="2"/>
  <c r="G23" i="2"/>
  <c r="H23" i="2"/>
  <c r="E24" i="2"/>
  <c r="F24" i="2"/>
  <c r="G24" i="2"/>
  <c r="H24" i="2"/>
  <c r="E25" i="2"/>
  <c r="F25" i="2"/>
  <c r="G25" i="2"/>
  <c r="H25" i="2"/>
  <c r="Q21" i="2"/>
  <c r="Q22" i="2"/>
  <c r="Q23" i="2"/>
  <c r="Q24" i="2"/>
  <c r="Q25" i="2"/>
  <c r="E24" i="1"/>
  <c r="F24" i="1"/>
  <c r="G24" i="1"/>
  <c r="H24" i="1"/>
  <c r="E25" i="1"/>
  <c r="F25" i="1"/>
  <c r="G25" i="1"/>
  <c r="H25" i="1"/>
  <c r="Q24" i="1"/>
  <c r="Q25" i="1"/>
  <c r="E15" i="1"/>
  <c r="E16" i="1" s="1"/>
  <c r="E17" i="1" s="1"/>
  <c r="C17" i="1"/>
  <c r="Q21" i="1"/>
  <c r="E21" i="1"/>
  <c r="F21" i="1"/>
  <c r="G21" i="1"/>
  <c r="E22" i="1"/>
  <c r="F22" i="1"/>
  <c r="G22" i="1"/>
  <c r="H22" i="1"/>
  <c r="E23" i="1"/>
  <c r="F23" i="1"/>
  <c r="G23" i="1"/>
  <c r="H23" i="1"/>
  <c r="Q22" i="1"/>
  <c r="Q23" i="1"/>
  <c r="H21" i="1"/>
  <c r="C11" i="1"/>
  <c r="C12" i="1"/>
  <c r="C16" i="1"/>
  <c r="D18" i="1"/>
  <c r="O24" i="1"/>
  <c r="R24" i="1"/>
  <c r="O25" i="1"/>
  <c r="R25" i="1"/>
  <c r="O22" i="1"/>
  <c r="R22" i="1"/>
  <c r="O23" i="1"/>
  <c r="R23" i="1"/>
  <c r="O26" i="1"/>
  <c r="R26" i="1"/>
  <c r="C15" i="1"/>
  <c r="O21" i="1"/>
  <c r="R21" i="1"/>
  <c r="C18" i="1"/>
  <c r="R19" i="1"/>
  <c r="C12" i="2"/>
  <c r="C11" i="3"/>
  <c r="C12" i="3"/>
  <c r="C11" i="2"/>
  <c r="O24" i="2" l="1"/>
  <c r="R24" i="2" s="1"/>
  <c r="O21" i="2"/>
  <c r="R21" i="2" s="1"/>
  <c r="C15" i="2"/>
  <c r="O26" i="2"/>
  <c r="R26" i="2" s="1"/>
  <c r="O23" i="2"/>
  <c r="R23" i="2" s="1"/>
  <c r="O25" i="2"/>
  <c r="R25" i="2" s="1"/>
  <c r="O22" i="2"/>
  <c r="R22" i="2" s="1"/>
  <c r="C16" i="3"/>
  <c r="D18" i="3" s="1"/>
  <c r="O23" i="3"/>
  <c r="R23" i="3" s="1"/>
  <c r="O26" i="3"/>
  <c r="R26" i="3" s="1"/>
  <c r="O22" i="3"/>
  <c r="R22" i="3" s="1"/>
  <c r="C15" i="3"/>
  <c r="O21" i="3"/>
  <c r="R21" i="3" s="1"/>
  <c r="O25" i="3"/>
  <c r="R25" i="3" s="1"/>
  <c r="O24" i="3"/>
  <c r="R24" i="3" s="1"/>
  <c r="C16" i="2"/>
  <c r="D18" i="2" s="1"/>
  <c r="E16" i="3" l="1"/>
  <c r="E17" i="3" s="1"/>
  <c r="C18" i="3"/>
  <c r="R19" i="3"/>
  <c r="C18" i="2"/>
  <c r="E16" i="2"/>
  <c r="E17" i="2" s="1"/>
  <c r="R19" i="2"/>
</calcChain>
</file>

<file path=xl/sharedStrings.xml><?xml version="1.0" encoding="utf-8"?>
<sst xmlns="http://schemas.openxmlformats.org/spreadsheetml/2006/main" count="227" uniqueCount="96">
  <si>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</si>
  <si>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</si>
  <si>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</si>
  <si>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</si>
  <si>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</si>
  <si>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</si>
  <si>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</si>
  <si>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</si>
  <si>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</si>
  <si>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</si>
  <si>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</si>
  <si>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</si>
  <si>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</si>
  <si>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</si>
  <si>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</si>
  <si>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</si>
  <si>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</si>
  <si>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</si>
  <si>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</si>
  <si>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</si>
  <si>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</si>
  <si>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</si>
  <si>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</si>
  <si>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</si>
  <si>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</si>
  <si>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</si>
  <si>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</si>
  <si>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</si>
  <si>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</si>
  <si>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</si>
  <si>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</si>
  <si>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IBVS 5643</t>
  </si>
  <si>
    <t>not avail.</t>
  </si>
  <si>
    <t># of data points:</t>
  </si>
  <si>
    <t>EW/KW</t>
  </si>
  <si>
    <t>GV Aqr / gsc 5811-0634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</si>
  <si>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</si>
  <si>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</si>
  <si>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</si>
  <si>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</si>
  <si>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</si>
  <si>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</si>
  <si>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5761</t>
  </si>
  <si>
    <t>I</t>
  </si>
  <si>
    <r>
      <t>Possible</t>
    </r>
    <r>
      <rPr>
        <b/>
        <sz val="10"/>
        <color indexed="10"/>
        <rFont val="Arial"/>
        <family val="2"/>
      </rPr>
      <t xml:space="preserve"> cycle count</t>
    </r>
  </si>
  <si>
    <t>Start of linear fit &gt;&gt;&gt;&gt;&gt;&gt;&gt;&gt;&gt;&gt;&gt;&gt;&gt;&gt;&gt;&gt;&gt;&gt;&gt;&gt;&gt;</t>
  </si>
  <si>
    <t>OEJV 0155</t>
  </si>
  <si>
    <t>0,0100</t>
  </si>
  <si>
    <t>OEJV</t>
  </si>
  <si>
    <t>Add cycle</t>
  </si>
  <si>
    <t>Old Cycle</t>
  </si>
  <si>
    <t>VSX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</si>
  <si>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</si>
  <si>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</si>
  <si>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</si>
  <si>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</si>
  <si>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</si>
  <si>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</si>
  <si>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</si>
  <si>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</si>
  <si>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</si>
  <si>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</si>
  <si>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</si>
  <si>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2452908.3139 </t>
  </si>
  <si>
    <t> 25.09.2003 19:32 </t>
  </si>
  <si>
    <t> -0.0031 </t>
  </si>
  <si>
    <t>E </t>
  </si>
  <si>
    <t>o</t>
  </si>
  <si>
    <t> F.Agerer </t>
  </si>
  <si>
    <t>BAVM 172 </t>
  </si>
  <si>
    <t>2452908.4875 </t>
  </si>
  <si>
    <t> 25.09.2003 23:42 </t>
  </si>
  <si>
    <t> 0.0021 </t>
  </si>
  <si>
    <t>2452930.3761 </t>
  </si>
  <si>
    <t> 17.10.2003 21:01 </t>
  </si>
  <si>
    <t> 0.0005 </t>
  </si>
  <si>
    <t>2453991.3753 </t>
  </si>
  <si>
    <t> 12.09.2006 21:00 </t>
  </si>
  <si>
    <t> 0.1660 </t>
  </si>
  <si>
    <t>C </t>
  </si>
  <si>
    <t>-I</t>
  </si>
  <si>
    <t>BAVM 183 </t>
  </si>
  <si>
    <t>2453991.5483 </t>
  </si>
  <si>
    <t> 13.09.2006 01:09 </t>
  </si>
  <si>
    <t>4427.5</t>
  </si>
  <si>
    <t> 0.1706 </t>
  </si>
  <si>
    <t>2454229.9850 </t>
  </si>
  <si>
    <t> 09.05.2007 11:38 </t>
  </si>
  <si>
    <t>5135.5</t>
  </si>
  <si>
    <t> 0.1723 </t>
  </si>
  <si>
    <t>ns</t>
  </si>
  <si>
    <t> A.Paschke </t>
  </si>
  <si>
    <t>OEJV 0155 </t>
  </si>
  <si>
    <t>s5</t>
  </si>
  <si>
    <t>s6</t>
  </si>
  <si>
    <t>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</si>
</sst>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</font>
    <font>
      <b/>
      <sz val="12"/>
      <color indexed="8"/>
      <name val="Arial"/>
      <family val="2"/>
    </font>
    <font>
      <u/>
      <sz val="10"/>
      <color indexed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8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10" fillId="0" borderId="0" xfId="0" applyFont="1" applyAlignment="1"/>
    <xf numFmtId="22" fontId="9" fillId="0" borderId="0" xfId="0" applyNumberFormat="1" applyFont="1" applyAlignment="1"/>
    <xf numFmtId="0" fontId="9" fillId="0" borderId="0" xfId="0" applyFont="1" applyAlignment="1">
      <alignment horizontal="right"/>
    </xf>
    <xf numFmtId="0" fontId="14" fillId="0" borderId="0" xfId="0" applyFont="1">
      <alignment vertical="top"/>
    </xf>
    <xf numFmtId="0" fontId="5" fillId="0" borderId="0" xfId="0" applyFont="1" applyAlignment="1">
      <alignment horizontal="left"/>
    </xf>
    <xf numFmtId="0" fontId="9" fillId="2" borderId="1" xfId="0" applyFont="1" applyFill="1" applyBorder="1" applyAlignment="1"/>
    <xf numFmtId="0" fontId="15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7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20" fillId="3" borderId="12" xfId="7" applyFill="1" applyBorder="1" applyAlignment="1" applyProtection="1">
      <alignment horizontal="right" vertical="top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GV Aqr - O-C Diagr.</a:t>
            </a:r>
          </a:p>
        </c:rich>
      </c:tx>
      <c:layout>
        <c:manualLayout>
          <c:xMode val="edge"/>
          <c:yMode val="edge"/>
          <c:x val="0.3796449272596983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814859468012961"/>
          <c:w val="0.80452405950567596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</c:v>
                </c:pt>
                <c:pt idx="2">
                  <c:v>109</c:v>
                </c:pt>
                <c:pt idx="3">
                  <c:v>5346</c:v>
                </c:pt>
                <c:pt idx="4">
                  <c:v>5347</c:v>
                </c:pt>
                <c:pt idx="5">
                  <c:v>6524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-2.8989999998884741E-2</c:v>
                </c:pt>
                <c:pt idx="2">
                  <c:v>-2.0109999997657724E-2</c:v>
                </c:pt>
                <c:pt idx="3">
                  <c:v>1.5260000000125729E-2</c:v>
                </c:pt>
                <c:pt idx="4">
                  <c:v>-1.4329999998153653E-2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35-4FE8-9A32-CEAFA721A14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1.9E-3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1.9E-3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</c:v>
                </c:pt>
                <c:pt idx="2">
                  <c:v>109</c:v>
                </c:pt>
                <c:pt idx="3">
                  <c:v>5346</c:v>
                </c:pt>
                <c:pt idx="4">
                  <c:v>5347</c:v>
                </c:pt>
                <c:pt idx="5">
                  <c:v>6524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5">
                  <c:v>-2.606000000378117E-2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35-4FE8-9A32-CEAFA721A14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1.9E-3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1.9E-3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</c:v>
                </c:pt>
                <c:pt idx="2">
                  <c:v>109</c:v>
                </c:pt>
                <c:pt idx="3">
                  <c:v>5346</c:v>
                </c:pt>
                <c:pt idx="4">
                  <c:v>5347</c:v>
                </c:pt>
                <c:pt idx="5">
                  <c:v>6524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35-4FE8-9A32-CEAFA721A14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1.9E-3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1.9E-3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</c:v>
                </c:pt>
                <c:pt idx="2">
                  <c:v>109</c:v>
                </c:pt>
                <c:pt idx="3">
                  <c:v>5346</c:v>
                </c:pt>
                <c:pt idx="4">
                  <c:v>5347</c:v>
                </c:pt>
                <c:pt idx="5">
                  <c:v>6524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35-4FE8-9A32-CEAFA721A14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1.9E-3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1.9E-3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</c:v>
                </c:pt>
                <c:pt idx="2">
                  <c:v>109</c:v>
                </c:pt>
                <c:pt idx="3">
                  <c:v>5346</c:v>
                </c:pt>
                <c:pt idx="4">
                  <c:v>5347</c:v>
                </c:pt>
                <c:pt idx="5">
                  <c:v>6524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35-4FE8-9A32-CEAFA721A14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1.9E-3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1.9E-3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</c:v>
                </c:pt>
                <c:pt idx="2">
                  <c:v>109</c:v>
                </c:pt>
                <c:pt idx="3">
                  <c:v>5346</c:v>
                </c:pt>
                <c:pt idx="4">
                  <c:v>5347</c:v>
                </c:pt>
                <c:pt idx="5">
                  <c:v>6524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35-4FE8-9A32-CEAFA721A14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1.9E-3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1.9E-3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</c:v>
                </c:pt>
                <c:pt idx="2">
                  <c:v>109</c:v>
                </c:pt>
                <c:pt idx="3">
                  <c:v>5346</c:v>
                </c:pt>
                <c:pt idx="4">
                  <c:v>5347</c:v>
                </c:pt>
                <c:pt idx="5">
                  <c:v>6524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35-4FE8-9A32-CEAFA721A14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</c:v>
                </c:pt>
                <c:pt idx="2">
                  <c:v>109</c:v>
                </c:pt>
                <c:pt idx="3">
                  <c:v>5346</c:v>
                </c:pt>
                <c:pt idx="4">
                  <c:v>5347</c:v>
                </c:pt>
                <c:pt idx="5">
                  <c:v>6524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-1.5107158235668555E-2</c:v>
                </c:pt>
                <c:pt idx="1">
                  <c:v>-1.5106210988631234E-2</c:v>
                </c:pt>
                <c:pt idx="2">
                  <c:v>-1.5003908308600574E-2</c:v>
                </c:pt>
                <c:pt idx="3">
                  <c:v>-1.0043175574150858E-2</c:v>
                </c:pt>
                <c:pt idx="4">
                  <c:v>-1.0042228327113538E-2</c:v>
                </c:pt>
                <c:pt idx="5">
                  <c:v>-8.9273185641868015E-3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35-4FE8-9A32-CEAFA721A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948888"/>
        <c:axId val="1"/>
      </c:scatterChart>
      <c:valAx>
        <c:axId val="524948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50276247779205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4948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09225361369409"/>
          <c:y val="0.91975600272188196"/>
          <c:w val="0.72374848943558956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GV Aqr - O-C Diagr.</a:t>
            </a:r>
          </a:p>
        </c:rich>
      </c:tx>
      <c:layout>
        <c:manualLayout>
          <c:xMode val="edge"/>
          <c:yMode val="edge"/>
          <c:x val="0.38390125382933943"/>
          <c:y val="3.6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2301318133614"/>
          <c:y val="0.16000052083502875"/>
          <c:w val="0.82043405666031999"/>
          <c:h val="0.59666860894729479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B!$F$21:$F$998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68.5</c:v>
                </c:pt>
                <c:pt idx="3">
                  <c:v>3359</c:v>
                </c:pt>
                <c:pt idx="4">
                  <c:v>3359.5</c:v>
                </c:pt>
                <c:pt idx="5">
                  <c:v>4099</c:v>
                </c:pt>
              </c:numCache>
            </c:numRef>
          </c:xVal>
          <c:yVal>
            <c:numRef>
              <c:f>B!$H$21:$H$998</c:f>
              <c:numCache>
                <c:formatCode>General</c:formatCode>
                <c:ptCount val="978"/>
                <c:pt idx="0">
                  <c:v>0</c:v>
                </c:pt>
                <c:pt idx="1">
                  <c:v>1.2389499999699183E-2</c:v>
                </c:pt>
                <c:pt idx="2">
                  <c:v>-2.3638500002562068E-2</c:v>
                </c:pt>
                <c:pt idx="3">
                  <c:v>4.9261000000115018E-2</c:v>
                </c:pt>
                <c:pt idx="4">
                  <c:v>6.1050500000419561E-2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A3-4E1C-B560-7823946912F7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B!$D$21:$D$998</c:f>
                <c:numCache>
                  <c:formatCode>General</c:formatCode>
                  <c:ptCount val="978"/>
                  <c:pt idx="0">
                    <c:v>1.9E-3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0</c:v>
                  </c:pt>
                </c:numCache>
              </c:numRef>
            </c:plus>
            <c:minus>
              <c:numRef>
                <c:f>B!$D$21:$D$998</c:f>
                <c:numCache>
                  <c:formatCode>General</c:formatCode>
                  <c:ptCount val="978"/>
                  <c:pt idx="0">
                    <c:v>1.9E-3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68.5</c:v>
                </c:pt>
                <c:pt idx="3">
                  <c:v>3359</c:v>
                </c:pt>
                <c:pt idx="4">
                  <c:v>3359.5</c:v>
                </c:pt>
                <c:pt idx="5">
                  <c:v>4099</c:v>
                </c:pt>
              </c:numCache>
            </c:numRef>
          </c:xVal>
          <c:yVal>
            <c:numRef>
              <c:f>B!$I$21:$I$998</c:f>
              <c:numCache>
                <c:formatCode>General</c:formatCode>
                <c:ptCount val="978"/>
                <c:pt idx="5">
                  <c:v>6.7420999999740161E-2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A3-4E1C-B560-7823946912F7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B!$D$21:$D$998</c:f>
                <c:numCache>
                  <c:formatCode>General</c:formatCode>
                  <c:ptCount val="978"/>
                  <c:pt idx="0">
                    <c:v>1.9E-3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0</c:v>
                  </c:pt>
                </c:numCache>
              </c:numRef>
            </c:plus>
            <c:minus>
              <c:numRef>
                <c:f>B!$D$21:$D$998</c:f>
                <c:numCache>
                  <c:formatCode>General</c:formatCode>
                  <c:ptCount val="978"/>
                  <c:pt idx="0">
                    <c:v>1.9E-3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68.5</c:v>
                </c:pt>
                <c:pt idx="3">
                  <c:v>3359</c:v>
                </c:pt>
                <c:pt idx="4">
                  <c:v>3359.5</c:v>
                </c:pt>
                <c:pt idx="5">
                  <c:v>4099</c:v>
                </c:pt>
              </c:numCache>
            </c:numRef>
          </c:xVal>
          <c:yVal>
            <c:numRef>
              <c:f>B!$J$21:$J$998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A3-4E1C-B560-7823946912F7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B!$D$21:$D$998</c:f>
                <c:numCache>
                  <c:formatCode>General</c:formatCode>
                  <c:ptCount val="978"/>
                  <c:pt idx="0">
                    <c:v>1.9E-3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0</c:v>
                  </c:pt>
                </c:numCache>
              </c:numRef>
            </c:plus>
            <c:minus>
              <c:numRef>
                <c:f>B!$D$21:$D$998</c:f>
                <c:numCache>
                  <c:formatCode>General</c:formatCode>
                  <c:ptCount val="978"/>
                  <c:pt idx="0">
                    <c:v>1.9E-3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68.5</c:v>
                </c:pt>
                <c:pt idx="3">
                  <c:v>3359</c:v>
                </c:pt>
                <c:pt idx="4">
                  <c:v>3359.5</c:v>
                </c:pt>
                <c:pt idx="5">
                  <c:v>4099</c:v>
                </c:pt>
              </c:numCache>
            </c:numRef>
          </c:xVal>
          <c:yVal>
            <c:numRef>
              <c:f>B!$K$21:$K$998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A3-4E1C-B560-7823946912F7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B!$D$21:$D$998</c:f>
                <c:numCache>
                  <c:formatCode>General</c:formatCode>
                  <c:ptCount val="978"/>
                  <c:pt idx="0">
                    <c:v>1.9E-3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0</c:v>
                  </c:pt>
                </c:numCache>
              </c:numRef>
            </c:plus>
            <c:minus>
              <c:numRef>
                <c:f>B!$D$21:$D$998</c:f>
                <c:numCache>
                  <c:formatCode>General</c:formatCode>
                  <c:ptCount val="978"/>
                  <c:pt idx="0">
                    <c:v>1.9E-3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68.5</c:v>
                </c:pt>
                <c:pt idx="3">
                  <c:v>3359</c:v>
                </c:pt>
                <c:pt idx="4">
                  <c:v>3359.5</c:v>
                </c:pt>
                <c:pt idx="5">
                  <c:v>4099</c:v>
                </c:pt>
              </c:numCache>
            </c:numRef>
          </c:xVal>
          <c:yVal>
            <c:numRef>
              <c:f>B!$L$21:$L$998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A3-4E1C-B560-7823946912F7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B!$D$21:$D$998</c:f>
                <c:numCache>
                  <c:formatCode>General</c:formatCode>
                  <c:ptCount val="978"/>
                  <c:pt idx="0">
                    <c:v>1.9E-3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0</c:v>
                  </c:pt>
                </c:numCache>
              </c:numRef>
            </c:plus>
            <c:minus>
              <c:numRef>
                <c:f>B!$D$21:$D$998</c:f>
                <c:numCache>
                  <c:formatCode>General</c:formatCode>
                  <c:ptCount val="978"/>
                  <c:pt idx="0">
                    <c:v>1.9E-3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68.5</c:v>
                </c:pt>
                <c:pt idx="3">
                  <c:v>3359</c:v>
                </c:pt>
                <c:pt idx="4">
                  <c:v>3359.5</c:v>
                </c:pt>
                <c:pt idx="5">
                  <c:v>4099</c:v>
                </c:pt>
              </c:numCache>
            </c:numRef>
          </c:xVal>
          <c:yVal>
            <c:numRef>
              <c:f>B!$M$21:$M$998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A3-4E1C-B560-7823946912F7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B!$D$21:$D$998</c:f>
                <c:numCache>
                  <c:formatCode>General</c:formatCode>
                  <c:ptCount val="978"/>
                  <c:pt idx="0">
                    <c:v>1.9E-3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0</c:v>
                  </c:pt>
                </c:numCache>
              </c:numRef>
            </c:plus>
            <c:minus>
              <c:numRef>
                <c:f>B!$D$21:$D$998</c:f>
                <c:numCache>
                  <c:formatCode>General</c:formatCode>
                  <c:ptCount val="978"/>
                  <c:pt idx="0">
                    <c:v>1.9E-3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68.5</c:v>
                </c:pt>
                <c:pt idx="3">
                  <c:v>3359</c:v>
                </c:pt>
                <c:pt idx="4">
                  <c:v>3359.5</c:v>
                </c:pt>
                <c:pt idx="5">
                  <c:v>4099</c:v>
                </c:pt>
              </c:numCache>
            </c:numRef>
          </c:xVal>
          <c:yVal>
            <c:numRef>
              <c:f>B!$N$21:$N$998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A3-4E1C-B560-7823946912F7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68.5</c:v>
                </c:pt>
                <c:pt idx="3">
                  <c:v>3359</c:v>
                </c:pt>
                <c:pt idx="4">
                  <c:v>3359.5</c:v>
                </c:pt>
                <c:pt idx="5">
                  <c:v>4099</c:v>
                </c:pt>
              </c:numCache>
            </c:numRef>
          </c:xVal>
          <c:yVal>
            <c:numRef>
              <c:f>B!$O$21:$O$998</c:f>
              <c:numCache>
                <c:formatCode>General</c:formatCode>
                <c:ptCount val="978"/>
                <c:pt idx="0">
                  <c:v>-3.9902583710910051E-3</c:v>
                </c:pt>
                <c:pt idx="1">
                  <c:v>-3.9815124449336563E-3</c:v>
                </c:pt>
                <c:pt idx="2">
                  <c:v>-2.7920664875342041E-3</c:v>
                </c:pt>
                <c:pt idx="3">
                  <c:v>5.4764873553978993E-2</c:v>
                </c:pt>
                <c:pt idx="4">
                  <c:v>5.4773619480136343E-2</c:v>
                </c:pt>
                <c:pt idx="5">
                  <c:v>6.7708844266855389E-2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A3-4E1C-B560-782394691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297480"/>
        <c:axId val="1"/>
      </c:scatterChart>
      <c:valAx>
        <c:axId val="520297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611451045401"/>
              <c:y val="0.826669466316710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35603715170282E-2"/>
              <c:y val="0.356667716535433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0297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517044115615577"/>
          <c:y val="0.91333613298337712"/>
          <c:w val="0.89009352933050556"/>
          <c:h val="0.980003149606299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GV Aqr - O-C Diagr.</a:t>
            </a:r>
          </a:p>
        </c:rich>
      </c:tx>
      <c:layout>
        <c:manualLayout>
          <c:xMode val="edge"/>
          <c:yMode val="edge"/>
          <c:x val="0.38390125382933943"/>
          <c:y val="3.6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51094589824543"/>
          <c:y val="0.16000052083502875"/>
          <c:w val="0.81114612394341068"/>
          <c:h val="0.596668608947294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65.5</c:v>
                </c:pt>
                <c:pt idx="3">
                  <c:v>3216</c:v>
                </c:pt>
                <c:pt idx="4">
                  <c:v>3216.5</c:v>
                </c:pt>
                <c:pt idx="5">
                  <c:v>3924.5</c:v>
                </c:pt>
              </c:numCache>
            </c:numRef>
          </c:xVal>
          <c:yVal>
            <c:numRef>
              <c:f>'C'!$H$21:$H$998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5C-4270-A7F8-C24D6B300134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'C'!$D$21:$D$998</c:f>
                <c:numCache>
                  <c:formatCode>General</c:formatCode>
                  <c:ptCount val="978"/>
                  <c:pt idx="0">
                    <c:v>1.9E-3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0</c:v>
                  </c:pt>
                </c:numCache>
              </c:numRef>
            </c:plus>
            <c:minus>
              <c:numRef>
                <c:f>'C'!$D$21:$D$998</c:f>
                <c:numCache>
                  <c:formatCode>General</c:formatCode>
                  <c:ptCount val="978"/>
                  <c:pt idx="0">
                    <c:v>1.9E-3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65.5</c:v>
                </c:pt>
                <c:pt idx="3">
                  <c:v>3216</c:v>
                </c:pt>
                <c:pt idx="4">
                  <c:v>3216.5</c:v>
                </c:pt>
                <c:pt idx="5">
                  <c:v>3924.5</c:v>
                </c:pt>
              </c:numCache>
            </c:numRef>
          </c:xVal>
          <c:yVal>
            <c:numRef>
              <c:f>'C'!$I$21:$I$998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5C-4270-A7F8-C24D6B300134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'C'!$D$21:$D$998</c:f>
                <c:numCache>
                  <c:formatCode>General</c:formatCode>
                  <c:ptCount val="978"/>
                  <c:pt idx="0">
                    <c:v>1.9E-3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0</c:v>
                  </c:pt>
                </c:numCache>
              </c:numRef>
            </c:plus>
            <c:minus>
              <c:numRef>
                <c:f>'C'!$D$21:$D$998</c:f>
                <c:numCache>
                  <c:formatCode>General</c:formatCode>
                  <c:ptCount val="978"/>
                  <c:pt idx="0">
                    <c:v>1.9E-3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65.5</c:v>
                </c:pt>
                <c:pt idx="3">
                  <c:v>3216</c:v>
                </c:pt>
                <c:pt idx="4">
                  <c:v>3216.5</c:v>
                </c:pt>
                <c:pt idx="5">
                  <c:v>3924.5</c:v>
                </c:pt>
              </c:numCache>
            </c:numRef>
          </c:xVal>
          <c:yVal>
            <c:numRef>
              <c:f>'C'!$J$21:$J$998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5C-4270-A7F8-C24D6B300134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'C'!$D$21:$D$998</c:f>
                <c:numCache>
                  <c:formatCode>General</c:formatCode>
                  <c:ptCount val="978"/>
                  <c:pt idx="0">
                    <c:v>1.9E-3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0</c:v>
                  </c:pt>
                </c:numCache>
              </c:numRef>
            </c:plus>
            <c:minus>
              <c:numRef>
                <c:f>'C'!$D$21:$D$998</c:f>
                <c:numCache>
                  <c:formatCode>General</c:formatCode>
                  <c:ptCount val="978"/>
                  <c:pt idx="0">
                    <c:v>1.9E-3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65.5</c:v>
                </c:pt>
                <c:pt idx="3">
                  <c:v>3216</c:v>
                </c:pt>
                <c:pt idx="4">
                  <c:v>3216.5</c:v>
                </c:pt>
                <c:pt idx="5">
                  <c:v>3924.5</c:v>
                </c:pt>
              </c:numCache>
            </c:numRef>
          </c:xVal>
          <c:yVal>
            <c:numRef>
              <c:f>'C'!$K$21:$K$998</c:f>
              <c:numCache>
                <c:formatCode>General</c:formatCode>
                <c:ptCount val="978"/>
                <c:pt idx="0">
                  <c:v>0</c:v>
                </c:pt>
                <c:pt idx="1">
                  <c:v>5.2150000046822242E-3</c:v>
                </c:pt>
                <c:pt idx="2">
                  <c:v>3.7650000012945384E-3</c:v>
                </c:pt>
                <c:pt idx="3">
                  <c:v>9.0799999961745925E-3</c:v>
                </c:pt>
                <c:pt idx="4">
                  <c:v>1.3695000001462176E-2</c:v>
                </c:pt>
                <c:pt idx="5">
                  <c:v>1.7234999999345746E-2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5C-4270-A7F8-C24D6B300134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'C'!$D$21:$D$998</c:f>
                <c:numCache>
                  <c:formatCode>General</c:formatCode>
                  <c:ptCount val="978"/>
                  <c:pt idx="0">
                    <c:v>1.9E-3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0</c:v>
                  </c:pt>
                </c:numCache>
              </c:numRef>
            </c:plus>
            <c:minus>
              <c:numRef>
                <c:f>'C'!$D$21:$D$998</c:f>
                <c:numCache>
                  <c:formatCode>General</c:formatCode>
                  <c:ptCount val="978"/>
                  <c:pt idx="0">
                    <c:v>1.9E-3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65.5</c:v>
                </c:pt>
                <c:pt idx="3">
                  <c:v>3216</c:v>
                </c:pt>
                <c:pt idx="4">
                  <c:v>3216.5</c:v>
                </c:pt>
                <c:pt idx="5">
                  <c:v>3924.5</c:v>
                </c:pt>
              </c:numCache>
            </c:numRef>
          </c:xVal>
          <c:yVal>
            <c:numRef>
              <c:f>'C'!$L$21:$L$998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5C-4270-A7F8-C24D6B300134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'C'!$D$21:$D$998</c:f>
                <c:numCache>
                  <c:formatCode>General</c:formatCode>
                  <c:ptCount val="978"/>
                  <c:pt idx="0">
                    <c:v>1.9E-3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0</c:v>
                  </c:pt>
                </c:numCache>
              </c:numRef>
            </c:plus>
            <c:minus>
              <c:numRef>
                <c:f>'C'!$D$21:$D$998</c:f>
                <c:numCache>
                  <c:formatCode>General</c:formatCode>
                  <c:ptCount val="978"/>
                  <c:pt idx="0">
                    <c:v>1.9E-3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65.5</c:v>
                </c:pt>
                <c:pt idx="3">
                  <c:v>3216</c:v>
                </c:pt>
                <c:pt idx="4">
                  <c:v>3216.5</c:v>
                </c:pt>
                <c:pt idx="5">
                  <c:v>3924.5</c:v>
                </c:pt>
              </c:numCache>
            </c:numRef>
          </c:xVal>
          <c:yVal>
            <c:numRef>
              <c:f>'C'!$M$21:$M$998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5C-4270-A7F8-C24D6B300134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'C'!$D$21:$D$998</c:f>
                <c:numCache>
                  <c:formatCode>General</c:formatCode>
                  <c:ptCount val="978"/>
                  <c:pt idx="0">
                    <c:v>1.9E-3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0</c:v>
                  </c:pt>
                </c:numCache>
              </c:numRef>
            </c:plus>
            <c:minus>
              <c:numRef>
                <c:f>'C'!$D$21:$D$998</c:f>
                <c:numCache>
                  <c:formatCode>General</c:formatCode>
                  <c:ptCount val="978"/>
                  <c:pt idx="0">
                    <c:v>1.9E-3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65.5</c:v>
                </c:pt>
                <c:pt idx="3">
                  <c:v>3216</c:v>
                </c:pt>
                <c:pt idx="4">
                  <c:v>3216.5</c:v>
                </c:pt>
                <c:pt idx="5">
                  <c:v>3924.5</c:v>
                </c:pt>
              </c:numCache>
            </c:numRef>
          </c:xVal>
          <c:yVal>
            <c:numRef>
              <c:f>'C'!$N$21:$N$998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5C-4270-A7F8-C24D6B300134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65.5</c:v>
                </c:pt>
                <c:pt idx="3">
                  <c:v>3216</c:v>
                </c:pt>
                <c:pt idx="4">
                  <c:v>3216.5</c:v>
                </c:pt>
                <c:pt idx="5">
                  <c:v>3924.5</c:v>
                </c:pt>
              </c:numCache>
            </c:numRef>
          </c:xVal>
          <c:yVal>
            <c:numRef>
              <c:f>'C'!$O$21:$O$998</c:f>
              <c:numCache>
                <c:formatCode>General</c:formatCode>
                <c:ptCount val="978"/>
                <c:pt idx="0">
                  <c:v>2.7534642221758538E-3</c:v>
                </c:pt>
                <c:pt idx="1">
                  <c:v>2.755021797474228E-3</c:v>
                </c:pt>
                <c:pt idx="2">
                  <c:v>2.9575065862628464E-3</c:v>
                </c:pt>
                <c:pt idx="3">
                  <c:v>1.2771788541317344E-2</c:v>
                </c:pt>
                <c:pt idx="4">
                  <c:v>1.2773346116615718E-2</c:v>
                </c:pt>
                <c:pt idx="5">
                  <c:v>1.4978872739113285E-2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5C-4270-A7F8-C24D6B300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609728"/>
        <c:axId val="1"/>
      </c:scatterChart>
      <c:valAx>
        <c:axId val="514609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6007735875117"/>
              <c:y val="0.826669466316710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35603715170282E-2"/>
              <c:y val="0.356667716535433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4609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4303421824593907"/>
          <c:y val="0.91333613298337712"/>
          <c:w val="0.87151767793731671"/>
          <c:h val="0.980003149606299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0</xdr:row>
      <xdr:rowOff>0</xdr:rowOff>
    </xdr:from>
    <xdr:to>
      <xdr:col>16</xdr:col>
      <xdr:colOff>352425</xdr:colOff>
      <xdr:row>18</xdr:row>
      <xdr:rowOff>47624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9CE4F0F-FA21-1D7C-0654-074637F1C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0</xdr:row>
      <xdr:rowOff>123825</xdr:rowOff>
    </xdr:from>
    <xdr:to>
      <xdr:col>17</xdr:col>
      <xdr:colOff>428625</xdr:colOff>
      <xdr:row>17</xdr:row>
      <xdr:rowOff>114300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214DF49F-5D67-B038-5DC8-B7D164D31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0</xdr:row>
      <xdr:rowOff>161925</xdr:rowOff>
    </xdr:from>
    <xdr:to>
      <xdr:col>17</xdr:col>
      <xdr:colOff>104775</xdr:colOff>
      <xdr:row>17</xdr:row>
      <xdr:rowOff>152400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080DF1A0-3B6E-BC52-F605-733AABBBA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72" TargetMode="External"/><Relationship Id="rId7" Type="http://schemas.openxmlformats.org/officeDocument/2006/relationships/hyperlink" Target="http://var.astro.cz/oejv/issues/oejv0155.pdf" TargetMode="External"/><Relationship Id="rId2" Type="http://schemas.openxmlformats.org/officeDocument/2006/relationships/hyperlink" Target="http://www.bav-astro.de/sfs/BAVM_link.php?BAVMnr=172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83" TargetMode="External"/><Relationship Id="rId5" Type="http://schemas.openxmlformats.org/officeDocument/2006/relationships/hyperlink" Target="http://www.bav-astro.de/sfs/BAVM_link.php?BAVMnr=183" TargetMode="External"/><Relationship Id="rId4" Type="http://schemas.openxmlformats.org/officeDocument/2006/relationships/hyperlink" Target="http://www.bav-astro.de/sfs/BAVM_link.php?BAVMnr=1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 x14ac:dyDescent="0.3">
      <c r="A1" s="1" t="s">
        <v>35</v>
      </c>
    </row>
    <row r="2" spans="1:5" x14ac:dyDescent="0.2">
      <c r="A2" t="s">
        <v>25</v>
      </c>
      <c r="B2" t="s">
        <v>34</v>
      </c>
    </row>
    <row r="4" spans="1:5" x14ac:dyDescent="0.2">
      <c r="A4" s="8" t="s">
        <v>0</v>
      </c>
      <c r="C4" s="15" t="s">
        <v>32</v>
      </c>
      <c r="D4" s="16" t="s">
        <v>32</v>
      </c>
    </row>
    <row r="6" spans="1:5" x14ac:dyDescent="0.2">
      <c r="A6" s="8" t="s">
        <v>1</v>
      </c>
    </row>
    <row r="7" spans="1:5" x14ac:dyDescent="0.2">
      <c r="A7" t="s">
        <v>2</v>
      </c>
      <c r="C7" s="13">
        <v>52908.313900000001</v>
      </c>
    </row>
    <row r="8" spans="1:5" x14ac:dyDescent="0.2">
      <c r="A8" t="s">
        <v>3</v>
      </c>
      <c r="C8" s="26">
        <v>0.20258999999999999</v>
      </c>
    </row>
    <row r="9" spans="1:5" x14ac:dyDescent="0.2">
      <c r="A9" s="20" t="s">
        <v>36</v>
      </c>
      <c r="C9" s="21">
        <v>-9.5</v>
      </c>
      <c r="D9" t="s">
        <v>37</v>
      </c>
    </row>
    <row r="10" spans="1:5" ht="13.5" thickBot="1" x14ac:dyDescent="0.25">
      <c r="C10" s="7" t="s">
        <v>21</v>
      </c>
      <c r="D10" s="7" t="s">
        <v>22</v>
      </c>
    </row>
    <row r="11" spans="1:5" x14ac:dyDescent="0.2">
      <c r="A11" t="s">
        <v>16</v>
      </c>
      <c r="C11">
        <f>INTERCEPT(G21:G98,F21:F98)</f>
        <v>-1.5107158235668555E-2</v>
      </c>
      <c r="D11" s="6"/>
    </row>
    <row r="12" spans="1:5" x14ac:dyDescent="0.2">
      <c r="A12" t="s">
        <v>17</v>
      </c>
      <c r="C12">
        <f>SLOPE(G21:G98,F21:F98)</f>
        <v>9.472470373209309E-7</v>
      </c>
      <c r="D12" s="6"/>
    </row>
    <row r="13" spans="1:5" x14ac:dyDescent="0.2">
      <c r="A13" t="s">
        <v>20</v>
      </c>
      <c r="C13" s="6" t="s">
        <v>14</v>
      </c>
      <c r="D13" s="6"/>
    </row>
    <row r="15" spans="1:5" x14ac:dyDescent="0.2">
      <c r="A15" s="3" t="s">
        <v>18</v>
      </c>
      <c r="C15" s="17">
        <f>(C7+C11)+(C8+C12)*INT(MAX(F21:F3533))</f>
        <v>54230.002132681439</v>
      </c>
      <c r="D15" s="19" t="s">
        <v>38</v>
      </c>
      <c r="E15" s="22">
        <f ca="1">TODAY()+15018.5-B9/24</f>
        <v>60320.5</v>
      </c>
    </row>
    <row r="16" spans="1:5" x14ac:dyDescent="0.2">
      <c r="A16" s="8" t="s">
        <v>4</v>
      </c>
      <c r="C16" s="18">
        <f>+C8+C12</f>
        <v>0.2025909472470373</v>
      </c>
      <c r="D16" s="19" t="s">
        <v>39</v>
      </c>
      <c r="E16" s="22">
        <f ca="1">ROUND(2*(E15-C15)/C16,0)/2+1</f>
        <v>30064</v>
      </c>
    </row>
    <row r="17" spans="1:18" ht="13.5" thickBot="1" x14ac:dyDescent="0.25">
      <c r="A17" s="19" t="s">
        <v>33</v>
      </c>
      <c r="C17">
        <f>COUNT(C21:C2191)</f>
        <v>6</v>
      </c>
      <c r="D17" s="19" t="s">
        <v>40</v>
      </c>
      <c r="E17" s="23">
        <f ca="1">+C15+C16*E16-15018.5-C9/24</f>
        <v>45302.592204049703</v>
      </c>
    </row>
    <row r="18" spans="1:18" ht="14.25" thickTop="1" thickBot="1" x14ac:dyDescent="0.25">
      <c r="A18" s="8" t="s">
        <v>5</v>
      </c>
      <c r="C18" s="4">
        <f>+C15</f>
        <v>54230.002132681439</v>
      </c>
      <c r="D18" s="5">
        <f>+C16</f>
        <v>0.2025909472470373</v>
      </c>
      <c r="E18" s="24" t="s">
        <v>41</v>
      </c>
    </row>
    <row r="19" spans="1:18" ht="13.5" thickTop="1" x14ac:dyDescent="0.2">
      <c r="R19">
        <f>SQRT(SUM(R21:R26)/(COUNT(R21:R26)-1))</f>
        <v>1.5397341954817647E-2</v>
      </c>
    </row>
    <row r="20" spans="1:18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30</v>
      </c>
      <c r="J20" s="10" t="s">
        <v>54</v>
      </c>
      <c r="K20" s="10" t="s">
        <v>26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18" x14ac:dyDescent="0.2">
      <c r="A21" s="11" t="s">
        <v>31</v>
      </c>
      <c r="B21" s="12"/>
      <c r="C21" s="13">
        <v>52908.313900000001</v>
      </c>
      <c r="D21" s="14">
        <v>1.9E-3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si="3">+C$11+C$12*$F21</f>
        <v>-1.5107158235668555E-2</v>
      </c>
      <c r="Q21" s="2">
        <f t="shared" ref="Q21:Q26" si="4">+C21-15018.5</f>
        <v>37889.813900000001</v>
      </c>
      <c r="R21">
        <f t="shared" ref="R21:R26" si="5">+(O21-H21)^2</f>
        <v>2.2822622995752825E-4</v>
      </c>
    </row>
    <row r="22" spans="1:18" x14ac:dyDescent="0.2">
      <c r="A22" s="11" t="s">
        <v>31</v>
      </c>
      <c r="B22" s="12"/>
      <c r="C22" s="13">
        <v>52908.487500000003</v>
      </c>
      <c r="D22" s="14">
        <v>8.9999999999999998E-4</v>
      </c>
      <c r="E22">
        <f t="shared" si="0"/>
        <v>0.85690310480229814</v>
      </c>
      <c r="F22">
        <f t="shared" si="1"/>
        <v>1</v>
      </c>
      <c r="G22">
        <f t="shared" si="2"/>
        <v>-2.8989999998884741E-2</v>
      </c>
      <c r="H22">
        <f>+G22</f>
        <v>-2.8989999998884741E-2</v>
      </c>
      <c r="O22">
        <f t="shared" si="3"/>
        <v>-1.5106210988631234E-2</v>
      </c>
      <c r="Q22" s="2">
        <f t="shared" si="4"/>
        <v>37889.987500000003</v>
      </c>
      <c r="R22">
        <f t="shared" si="5"/>
        <v>1.9275959728123606E-4</v>
      </c>
    </row>
    <row r="23" spans="1:18" x14ac:dyDescent="0.2">
      <c r="A23" s="11" t="s">
        <v>31</v>
      </c>
      <c r="B23" s="12"/>
      <c r="C23" s="13">
        <v>52930.376100000001</v>
      </c>
      <c r="D23" s="14">
        <v>1.9E-3</v>
      </c>
      <c r="E23">
        <f t="shared" si="0"/>
        <v>108.9007354755926</v>
      </c>
      <c r="F23">
        <f t="shared" si="1"/>
        <v>109</v>
      </c>
      <c r="G23">
        <f t="shared" si="2"/>
        <v>-2.0109999997657724E-2</v>
      </c>
      <c r="H23">
        <f>+G23</f>
        <v>-2.0109999997657724E-2</v>
      </c>
      <c r="O23">
        <f t="shared" si="3"/>
        <v>-1.5003908308600574E-2</v>
      </c>
      <c r="Q23" s="2">
        <f t="shared" si="4"/>
        <v>37911.876100000001</v>
      </c>
      <c r="R23">
        <f t="shared" si="5"/>
        <v>2.60721723370585E-5</v>
      </c>
    </row>
    <row r="24" spans="1:18" x14ac:dyDescent="0.2">
      <c r="A24" s="25" t="s">
        <v>42</v>
      </c>
      <c r="B24" s="12" t="s">
        <v>43</v>
      </c>
      <c r="C24" s="14">
        <v>53991.3753</v>
      </c>
      <c r="D24" s="14">
        <v>2E-3</v>
      </c>
      <c r="E24">
        <f t="shared" si="0"/>
        <v>5346.0753245471087</v>
      </c>
      <c r="F24">
        <f t="shared" si="1"/>
        <v>5346</v>
      </c>
      <c r="G24">
        <f t="shared" si="2"/>
        <v>1.5260000000125729E-2</v>
      </c>
      <c r="H24">
        <f>+G24</f>
        <v>1.5260000000125729E-2</v>
      </c>
      <c r="O24">
        <f t="shared" si="3"/>
        <v>-1.0043175574150858E-2</v>
      </c>
      <c r="Q24" s="2">
        <f t="shared" si="4"/>
        <v>38972.8753</v>
      </c>
      <c r="R24">
        <f t="shared" si="5"/>
        <v>6.4025069414266737E-4</v>
      </c>
    </row>
    <row r="25" spans="1:18" x14ac:dyDescent="0.2">
      <c r="A25" s="25" t="s">
        <v>42</v>
      </c>
      <c r="B25" s="12" t="s">
        <v>43</v>
      </c>
      <c r="C25" s="14">
        <v>53991.548300000002</v>
      </c>
      <c r="D25" s="14">
        <v>1.4E-3</v>
      </c>
      <c r="E25">
        <f t="shared" si="0"/>
        <v>5346.9292660052379</v>
      </c>
      <c r="F25">
        <f t="shared" si="1"/>
        <v>5347</v>
      </c>
      <c r="G25">
        <f t="shared" si="2"/>
        <v>-1.4329999998153653E-2</v>
      </c>
      <c r="H25">
        <f>+G25</f>
        <v>-1.4329999998153653E-2</v>
      </c>
      <c r="O25">
        <f t="shared" si="3"/>
        <v>-1.0042228327113538E-2</v>
      </c>
      <c r="Q25" s="2">
        <f t="shared" si="4"/>
        <v>38973.048300000002</v>
      </c>
      <c r="R25">
        <f t="shared" si="5"/>
        <v>1.838498590297414E-5</v>
      </c>
    </row>
    <row r="26" spans="1:18" x14ac:dyDescent="0.2">
      <c r="A26" s="44" t="s">
        <v>46</v>
      </c>
      <c r="B26" s="45" t="s">
        <v>43</v>
      </c>
      <c r="C26" s="46">
        <v>54229.985000000001</v>
      </c>
      <c r="D26" s="44" t="s">
        <v>47</v>
      </c>
      <c r="E26">
        <f t="shared" si="0"/>
        <v>6523.8713658127235</v>
      </c>
      <c r="F26">
        <f t="shared" si="1"/>
        <v>6524</v>
      </c>
      <c r="G26">
        <f t="shared" si="2"/>
        <v>-2.606000000378117E-2</v>
      </c>
      <c r="I26">
        <f>+G26</f>
        <v>-2.606000000378117E-2</v>
      </c>
      <c r="O26">
        <f t="shared" si="3"/>
        <v>-8.9273185641868015E-3</v>
      </c>
      <c r="Q26" s="2">
        <f t="shared" si="4"/>
        <v>39211.485000000001</v>
      </c>
      <c r="R26">
        <f t="shared" si="5"/>
        <v>7.969701674647429E-5</v>
      </c>
    </row>
    <row r="27" spans="1:18" x14ac:dyDescent="0.2">
      <c r="D27" s="6"/>
      <c r="Q27" s="2"/>
    </row>
    <row r="28" spans="1:18" x14ac:dyDescent="0.2">
      <c r="D28" s="6"/>
      <c r="Q28" s="2"/>
    </row>
    <row r="29" spans="1:18" x14ac:dyDescent="0.2">
      <c r="D29" s="6"/>
      <c r="Q29" s="2"/>
    </row>
    <row r="30" spans="1:18" x14ac:dyDescent="0.2">
      <c r="D30" s="6"/>
      <c r="Q30" s="2"/>
    </row>
    <row r="31" spans="1:18" x14ac:dyDescent="0.2">
      <c r="D31" s="6"/>
      <c r="Q31" s="2"/>
    </row>
    <row r="32" spans="1:18" x14ac:dyDescent="0.2">
      <c r="D32" s="6"/>
      <c r="Q32" s="2"/>
    </row>
    <row r="33" spans="4:4" x14ac:dyDescent="0.2">
      <c r="D33" s="6"/>
    </row>
    <row r="34" spans="4:4" x14ac:dyDescent="0.2">
      <c r="D34" s="6"/>
    </row>
    <row r="35" spans="4:4" x14ac:dyDescent="0.2">
      <c r="D35" s="6"/>
    </row>
    <row r="36" spans="4:4" x14ac:dyDescent="0.2">
      <c r="D36" s="6"/>
    </row>
    <row r="37" spans="4:4" x14ac:dyDescent="0.2">
      <c r="D37" s="6"/>
    </row>
    <row r="38" spans="4:4" x14ac:dyDescent="0.2">
      <c r="D38" s="6"/>
    </row>
    <row r="39" spans="4:4" x14ac:dyDescent="0.2">
      <c r="D39" s="6"/>
    </row>
    <row r="40" spans="4:4" x14ac:dyDescent="0.2">
      <c r="D40" s="6"/>
    </row>
    <row r="41" spans="4:4" x14ac:dyDescent="0.2">
      <c r="D41" s="6"/>
    </row>
    <row r="42" spans="4:4" x14ac:dyDescent="0.2">
      <c r="D42" s="6"/>
    </row>
    <row r="43" spans="4:4" x14ac:dyDescent="0.2">
      <c r="D43" s="6"/>
    </row>
    <row r="44" spans="4:4" x14ac:dyDescent="0.2">
      <c r="D44" s="6"/>
    </row>
    <row r="45" spans="4:4" x14ac:dyDescent="0.2">
      <c r="D45" s="6"/>
    </row>
    <row r="46" spans="4:4" x14ac:dyDescent="0.2">
      <c r="D46" s="6"/>
    </row>
    <row r="47" spans="4:4" x14ac:dyDescent="0.2">
      <c r="D47" s="6"/>
    </row>
    <row r="48" spans="4:4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workbookViewId="0">
      <selection activeCell="F3" sqref="F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35</v>
      </c>
    </row>
    <row r="2" spans="1:7" x14ac:dyDescent="0.2">
      <c r="A2" t="s">
        <v>25</v>
      </c>
      <c r="B2" t="s">
        <v>34</v>
      </c>
    </row>
    <row r="3" spans="1:7" x14ac:dyDescent="0.2">
      <c r="C3" s="28" t="s">
        <v>44</v>
      </c>
    </row>
    <row r="4" spans="1:7" x14ac:dyDescent="0.2">
      <c r="A4" s="8" t="s">
        <v>0</v>
      </c>
      <c r="C4" s="15" t="s">
        <v>32</v>
      </c>
      <c r="D4" s="16" t="s">
        <v>32</v>
      </c>
    </row>
    <row r="6" spans="1:7" x14ac:dyDescent="0.2">
      <c r="A6" s="8" t="s">
        <v>1</v>
      </c>
    </row>
    <row r="7" spans="1:7" x14ac:dyDescent="0.2">
      <c r="A7" t="s">
        <v>2</v>
      </c>
      <c r="C7" s="13">
        <v>52908.313900000001</v>
      </c>
    </row>
    <row r="8" spans="1:7" x14ac:dyDescent="0.2">
      <c r="A8" t="s">
        <v>3</v>
      </c>
      <c r="C8" s="26">
        <v>0.32242100000000001</v>
      </c>
    </row>
    <row r="9" spans="1:7" x14ac:dyDescent="0.2">
      <c r="A9" s="29" t="s">
        <v>36</v>
      </c>
      <c r="B9" s="30"/>
      <c r="C9" s="31">
        <v>8</v>
      </c>
      <c r="D9" s="30" t="s">
        <v>37</v>
      </c>
      <c r="E9" s="30"/>
    </row>
    <row r="10" spans="1:7" ht="13.5" thickBot="1" x14ac:dyDescent="0.25">
      <c r="A10" s="30"/>
      <c r="B10" s="30"/>
      <c r="C10" s="7" t="s">
        <v>21</v>
      </c>
      <c r="D10" s="7" t="s">
        <v>22</v>
      </c>
      <c r="E10" s="30"/>
    </row>
    <row r="11" spans="1:7" x14ac:dyDescent="0.2">
      <c r="A11" s="30" t="s">
        <v>16</v>
      </c>
      <c r="B11" s="30"/>
      <c r="C11" s="32">
        <f ca="1">INTERCEPT(INDIRECT($G$11):G992,INDIRECT($F$11):F992)</f>
        <v>-3.9902583710910051E-3</v>
      </c>
      <c r="D11" s="6"/>
      <c r="E11" s="30"/>
      <c r="F11" s="33" t="str">
        <f>"F"&amp;E19</f>
        <v>F21</v>
      </c>
      <c r="G11" s="34" t="str">
        <f>"G"&amp;E19</f>
        <v>G21</v>
      </c>
    </row>
    <row r="12" spans="1:7" x14ac:dyDescent="0.2">
      <c r="A12" s="30" t="s">
        <v>17</v>
      </c>
      <c r="B12" s="30"/>
      <c r="C12" s="32">
        <f ca="1">SLOPE(INDIRECT($G$11):G992,INDIRECT($F$11):F992)</f>
        <v>1.7491852314697825E-5</v>
      </c>
      <c r="D12" s="6"/>
      <c r="E12" s="30"/>
    </row>
    <row r="13" spans="1:7" x14ac:dyDescent="0.2">
      <c r="A13" s="30" t="s">
        <v>20</v>
      </c>
      <c r="B13" s="30"/>
      <c r="C13" s="6" t="s">
        <v>14</v>
      </c>
      <c r="D13" s="36" t="s">
        <v>49</v>
      </c>
      <c r="E13" s="31">
        <v>1</v>
      </c>
    </row>
    <row r="14" spans="1:7" x14ac:dyDescent="0.2">
      <c r="A14" s="30"/>
      <c r="B14" s="30"/>
      <c r="C14" s="30"/>
      <c r="D14" s="36" t="s">
        <v>38</v>
      </c>
      <c r="E14" s="37">
        <f ca="1">NOW()+15018.5+$C$9/24</f>
        <v>60321.535283680561</v>
      </c>
    </row>
    <row r="15" spans="1:7" x14ac:dyDescent="0.2">
      <c r="A15" s="35" t="s">
        <v>18</v>
      </c>
      <c r="B15" s="30"/>
      <c r="C15" s="17">
        <f ca="1">(C7+C11)+(C8+C12)*INT(MAX(F21:F3533))</f>
        <v>54229.985287844262</v>
      </c>
      <c r="D15" s="36" t="s">
        <v>50</v>
      </c>
      <c r="E15" s="37">
        <f ca="1">ROUND(2*(E14-$C$7)/$C$8,0)/2+E13</f>
        <v>22993.5</v>
      </c>
    </row>
    <row r="16" spans="1:7" x14ac:dyDescent="0.2">
      <c r="A16" s="38" t="s">
        <v>4</v>
      </c>
      <c r="B16" s="30"/>
      <c r="C16" s="18">
        <f ca="1">+C8+C12</f>
        <v>0.32243849185231471</v>
      </c>
      <c r="D16" s="36" t="s">
        <v>39</v>
      </c>
      <c r="E16" s="34">
        <f ca="1">ROUND(2*(E14-$C$15)/$C$16,0)/2+E13</f>
        <v>18893</v>
      </c>
    </row>
    <row r="17" spans="1:18" ht="13.5" thickBot="1" x14ac:dyDescent="0.25">
      <c r="A17" s="36" t="s">
        <v>33</v>
      </c>
      <c r="B17" s="30"/>
      <c r="C17" s="30">
        <f>COUNT(C21:C2191)</f>
        <v>6</v>
      </c>
      <c r="D17" s="36" t="s">
        <v>40</v>
      </c>
      <c r="E17" s="39">
        <f ca="1">+$C$15+$C$16*E16-15018.5-$C$9/24</f>
        <v>45302.982381076705</v>
      </c>
    </row>
    <row r="18" spans="1:18" x14ac:dyDescent="0.2">
      <c r="A18" s="38" t="s">
        <v>5</v>
      </c>
      <c r="B18" s="30"/>
      <c r="C18" s="40">
        <f ca="1">+C15</f>
        <v>54229.985287844262</v>
      </c>
      <c r="D18" s="41">
        <f ca="1">+C16</f>
        <v>0.32243849185231471</v>
      </c>
      <c r="E18" s="24" t="s">
        <v>41</v>
      </c>
    </row>
    <row r="19" spans="1:18" ht="13.5" thickTop="1" x14ac:dyDescent="0.2">
      <c r="A19" s="42" t="s">
        <v>45</v>
      </c>
      <c r="E19" s="43">
        <v>21</v>
      </c>
      <c r="R19">
        <f ca="1">SQRT(SUM(R21:R26)/(COUNT(R21:R26)-1))</f>
        <v>3.2780132537080973E-2</v>
      </c>
    </row>
    <row r="20" spans="1:18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30</v>
      </c>
      <c r="I20" s="10" t="s">
        <v>48</v>
      </c>
      <c r="J20" s="10" t="s">
        <v>19</v>
      </c>
      <c r="K20" s="10" t="s">
        <v>26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18" x14ac:dyDescent="0.2">
      <c r="A21" s="11" t="s">
        <v>31</v>
      </c>
      <c r="B21" s="12"/>
      <c r="C21" s="13">
        <v>52908.313900000001</v>
      </c>
      <c r="D21" s="14">
        <v>1.9E-3</v>
      </c>
      <c r="E21">
        <f t="shared" ref="E21:E26" si="0">+(C21-C$7)/C$8</f>
        <v>0</v>
      </c>
      <c r="F21">
        <f>ROUND(2*E21,0)/2</f>
        <v>0</v>
      </c>
      <c r="G21">
        <f t="shared" ref="G21:G26" si="1">+C21-(C$7+F21*C$8)</f>
        <v>0</v>
      </c>
      <c r="H21">
        <f>+G21</f>
        <v>0</v>
      </c>
      <c r="O21">
        <f t="shared" ref="O21:O26" ca="1" si="2">+C$11+C$12*$F21</f>
        <v>-3.9902583710910051E-3</v>
      </c>
      <c r="Q21" s="2">
        <f t="shared" ref="Q21:Q26" si="3">+C21-15018.5</f>
        <v>37889.813900000001</v>
      </c>
      <c r="R21">
        <f t="shared" ref="R21:R26" ca="1" si="4">+(O21-H21)^2</f>
        <v>1.5922161868061843E-5</v>
      </c>
    </row>
    <row r="22" spans="1:18" x14ac:dyDescent="0.2">
      <c r="A22" s="11" t="s">
        <v>31</v>
      </c>
      <c r="B22" s="12"/>
      <c r="C22" s="13">
        <v>52908.487500000003</v>
      </c>
      <c r="D22" s="14">
        <v>8.9999999999999998E-4</v>
      </c>
      <c r="E22">
        <f t="shared" si="0"/>
        <v>0.53842646726453169</v>
      </c>
      <c r="F22">
        <f>ROUND(2*E22,0)/2</f>
        <v>0.5</v>
      </c>
      <c r="G22">
        <f t="shared" si="1"/>
        <v>1.2389499999699183E-2</v>
      </c>
      <c r="H22">
        <f>+G22</f>
        <v>1.2389499999699183E-2</v>
      </c>
      <c r="O22">
        <f t="shared" ca="1" si="2"/>
        <v>-3.9815124449336563E-3</v>
      </c>
      <c r="Q22" s="2">
        <f t="shared" si="3"/>
        <v>37889.987500000003</v>
      </c>
      <c r="R22">
        <f t="shared" ca="1" si="4"/>
        <v>2.6801004846232324E-4</v>
      </c>
    </row>
    <row r="23" spans="1:18" x14ac:dyDescent="0.2">
      <c r="A23" s="11" t="s">
        <v>31</v>
      </c>
      <c r="B23" s="12"/>
      <c r="C23" s="13">
        <v>52930.376100000001</v>
      </c>
      <c r="D23" s="14">
        <v>1.9E-3</v>
      </c>
      <c r="E23">
        <f t="shared" si="0"/>
        <v>68.42668436609371</v>
      </c>
      <c r="F23">
        <f>ROUND(2*E23,0)/2</f>
        <v>68.5</v>
      </c>
      <c r="G23">
        <f t="shared" si="1"/>
        <v>-2.3638500002562068E-2</v>
      </c>
      <c r="H23">
        <f>+G23</f>
        <v>-2.3638500002562068E-2</v>
      </c>
      <c r="O23">
        <f t="shared" ca="1" si="2"/>
        <v>-2.7920664875342041E-3</v>
      </c>
      <c r="Q23" s="2">
        <f t="shared" si="3"/>
        <v>37911.876100000001</v>
      </c>
      <c r="R23">
        <f t="shared" ca="1" si="4"/>
        <v>4.3457379029647702E-4</v>
      </c>
    </row>
    <row r="24" spans="1:18" x14ac:dyDescent="0.2">
      <c r="A24" s="25" t="s">
        <v>42</v>
      </c>
      <c r="B24" s="12" t="s">
        <v>43</v>
      </c>
      <c r="C24" s="14">
        <v>53991.3753</v>
      </c>
      <c r="D24" s="14">
        <v>2E-3</v>
      </c>
      <c r="E24">
        <f t="shared" si="0"/>
        <v>3359.1527847131501</v>
      </c>
      <c r="F24" s="27">
        <f>ROUND(2*E24,0)/2+F$19</f>
        <v>3359</v>
      </c>
      <c r="G24">
        <f t="shared" si="1"/>
        <v>4.9261000000115018E-2</v>
      </c>
      <c r="H24">
        <f>+G24</f>
        <v>4.9261000000115018E-2</v>
      </c>
      <c r="O24">
        <f t="shared" ca="1" si="2"/>
        <v>5.4764873553978993E-2</v>
      </c>
      <c r="Q24" s="2">
        <f t="shared" si="3"/>
        <v>38972.8753</v>
      </c>
      <c r="R24">
        <f t="shared" ca="1" si="4"/>
        <v>3.029262409692326E-5</v>
      </c>
    </row>
    <row r="25" spans="1:18" x14ac:dyDescent="0.2">
      <c r="A25" s="25" t="s">
        <v>42</v>
      </c>
      <c r="B25" s="12" t="s">
        <v>43</v>
      </c>
      <c r="C25" s="14">
        <v>53991.548300000002</v>
      </c>
      <c r="D25" s="14">
        <v>1.4E-3</v>
      </c>
      <c r="E25">
        <f t="shared" si="0"/>
        <v>3359.6893502594471</v>
      </c>
      <c r="F25" s="27">
        <f>ROUND(2*E25,0)/2+F$19</f>
        <v>3359.5</v>
      </c>
      <c r="G25">
        <f t="shared" si="1"/>
        <v>6.1050500000419561E-2</v>
      </c>
      <c r="H25">
        <f>+G25</f>
        <v>6.1050500000419561E-2</v>
      </c>
      <c r="O25">
        <f t="shared" ca="1" si="2"/>
        <v>5.4773619480136343E-2</v>
      </c>
      <c r="Q25" s="2">
        <f t="shared" si="3"/>
        <v>38973.048300000002</v>
      </c>
      <c r="R25">
        <f t="shared" ca="1" si="4"/>
        <v>3.939922906591092E-5</v>
      </c>
    </row>
    <row r="26" spans="1:18" x14ac:dyDescent="0.2">
      <c r="A26" s="44" t="s">
        <v>46</v>
      </c>
      <c r="B26" s="45" t="s">
        <v>43</v>
      </c>
      <c r="C26" s="46">
        <v>54229.985000000001</v>
      </c>
      <c r="D26" s="44" t="s">
        <v>47</v>
      </c>
      <c r="E26">
        <f t="shared" si="0"/>
        <v>4099.2091085878383</v>
      </c>
      <c r="F26" s="27">
        <f>ROUND(2*E26,0)/2+F$19</f>
        <v>4099</v>
      </c>
      <c r="G26">
        <f t="shared" si="1"/>
        <v>6.7420999999740161E-2</v>
      </c>
      <c r="I26">
        <f>+G26</f>
        <v>6.7420999999740161E-2</v>
      </c>
      <c r="O26">
        <f t="shared" ca="1" si="2"/>
        <v>6.7708844266855389E-2</v>
      </c>
      <c r="Q26" s="2">
        <f t="shared" si="3"/>
        <v>39211.485000000001</v>
      </c>
      <c r="R26">
        <f t="shared" ca="1" si="4"/>
        <v>4.5844875919532763E-3</v>
      </c>
    </row>
    <row r="27" spans="1:18" x14ac:dyDescent="0.2">
      <c r="D27" s="6"/>
      <c r="Q27" s="2"/>
    </row>
    <row r="28" spans="1:18" x14ac:dyDescent="0.2">
      <c r="D28" s="6"/>
      <c r="Q28" s="2"/>
    </row>
    <row r="29" spans="1:18" x14ac:dyDescent="0.2">
      <c r="D29" s="6"/>
      <c r="Q29" s="2"/>
    </row>
    <row r="30" spans="1:18" x14ac:dyDescent="0.2">
      <c r="D30" s="6"/>
      <c r="Q30" s="2"/>
    </row>
    <row r="31" spans="1:18" x14ac:dyDescent="0.2">
      <c r="D31" s="6"/>
      <c r="Q31" s="2"/>
    </row>
    <row r="32" spans="1:18" x14ac:dyDescent="0.2">
      <c r="D32" s="6"/>
      <c r="Q32" s="2"/>
    </row>
    <row r="33" spans="4:4" x14ac:dyDescent="0.2">
      <c r="D33" s="6"/>
    </row>
    <row r="34" spans="4:4" x14ac:dyDescent="0.2">
      <c r="D34" s="6"/>
    </row>
    <row r="35" spans="4:4" x14ac:dyDescent="0.2">
      <c r="D35" s="6"/>
    </row>
    <row r="36" spans="4:4" x14ac:dyDescent="0.2">
      <c r="D36" s="6"/>
    </row>
    <row r="37" spans="4:4" x14ac:dyDescent="0.2">
      <c r="D37" s="6"/>
    </row>
    <row r="38" spans="4:4" x14ac:dyDescent="0.2">
      <c r="D38" s="6"/>
    </row>
    <row r="39" spans="4:4" x14ac:dyDescent="0.2">
      <c r="D39" s="6"/>
    </row>
    <row r="40" spans="4:4" x14ac:dyDescent="0.2">
      <c r="D40" s="6"/>
    </row>
    <row r="41" spans="4:4" x14ac:dyDescent="0.2">
      <c r="D41" s="6"/>
    </row>
    <row r="42" spans="4:4" x14ac:dyDescent="0.2">
      <c r="D42" s="6"/>
    </row>
    <row r="43" spans="4:4" x14ac:dyDescent="0.2">
      <c r="D43" s="6"/>
    </row>
    <row r="44" spans="4:4" x14ac:dyDescent="0.2">
      <c r="D44" s="6"/>
    </row>
    <row r="45" spans="4:4" x14ac:dyDescent="0.2">
      <c r="D45" s="6"/>
    </row>
    <row r="46" spans="4:4" x14ac:dyDescent="0.2">
      <c r="D46" s="6"/>
    </row>
    <row r="47" spans="4:4" x14ac:dyDescent="0.2">
      <c r="D47" s="6"/>
    </row>
    <row r="48" spans="4:4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R51"/>
  <sheetViews>
    <sheetView workbookViewId="0">
      <selection activeCell="F4" sqref="F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35</v>
      </c>
    </row>
    <row r="2" spans="1:7" x14ac:dyDescent="0.2">
      <c r="A2" t="s">
        <v>25</v>
      </c>
      <c r="B2" t="s">
        <v>34</v>
      </c>
    </row>
    <row r="3" spans="1:7" x14ac:dyDescent="0.2">
      <c r="C3" s="28" t="s">
        <v>44</v>
      </c>
    </row>
    <row r="4" spans="1:7" x14ac:dyDescent="0.2">
      <c r="A4" s="8" t="s">
        <v>0</v>
      </c>
      <c r="C4" s="15" t="s">
        <v>32</v>
      </c>
      <c r="D4" s="16" t="s">
        <v>32</v>
      </c>
    </row>
    <row r="6" spans="1:7" x14ac:dyDescent="0.2">
      <c r="A6" s="8" t="s">
        <v>1</v>
      </c>
    </row>
    <row r="7" spans="1:7" x14ac:dyDescent="0.2">
      <c r="A7" t="s">
        <v>2</v>
      </c>
      <c r="C7" s="13">
        <v>52908.313900000001</v>
      </c>
    </row>
    <row r="8" spans="1:7" x14ac:dyDescent="0.2">
      <c r="A8" t="s">
        <v>3</v>
      </c>
      <c r="C8" s="26">
        <v>0.33677000000000001</v>
      </c>
      <c r="D8" t="s">
        <v>51</v>
      </c>
    </row>
    <row r="9" spans="1:7" x14ac:dyDescent="0.2">
      <c r="A9" s="29" t="s">
        <v>36</v>
      </c>
      <c r="B9" s="30"/>
      <c r="C9" s="31">
        <v>8</v>
      </c>
      <c r="D9" s="30" t="s">
        <v>37</v>
      </c>
      <c r="E9" s="30"/>
    </row>
    <row r="10" spans="1:7" ht="13.5" thickBot="1" x14ac:dyDescent="0.25">
      <c r="A10" s="30"/>
      <c r="B10" s="30"/>
      <c r="C10" s="7" t="s">
        <v>21</v>
      </c>
      <c r="D10" s="7" t="s">
        <v>22</v>
      </c>
      <c r="E10" s="30"/>
    </row>
    <row r="11" spans="1:7" x14ac:dyDescent="0.2">
      <c r="A11" s="30" t="s">
        <v>16</v>
      </c>
      <c r="B11" s="30"/>
      <c r="C11" s="32">
        <f ca="1">INTERCEPT(INDIRECT($G$11):G992,INDIRECT($F$11):F992)</f>
        <v>2.7534642221758538E-3</v>
      </c>
      <c r="D11" s="6"/>
      <c r="E11" s="30"/>
      <c r="F11" s="33" t="str">
        <f>"F"&amp;E19</f>
        <v>F21</v>
      </c>
      <c r="G11" s="34" t="str">
        <f>"G"&amp;E19</f>
        <v>G21</v>
      </c>
    </row>
    <row r="12" spans="1:7" x14ac:dyDescent="0.2">
      <c r="A12" s="30" t="s">
        <v>17</v>
      </c>
      <c r="B12" s="30"/>
      <c r="C12" s="32">
        <f ca="1">SLOPE(INDIRECT($G$11):G992,INDIRECT($F$11):F992)</f>
        <v>3.115150596747976E-6</v>
      </c>
      <c r="D12" s="6"/>
      <c r="E12" s="30"/>
    </row>
    <row r="13" spans="1:7" x14ac:dyDescent="0.2">
      <c r="A13" s="30" t="s">
        <v>20</v>
      </c>
      <c r="B13" s="30"/>
      <c r="C13" s="6" t="s">
        <v>14</v>
      </c>
      <c r="D13" s="36" t="s">
        <v>49</v>
      </c>
      <c r="E13" s="31">
        <v>1</v>
      </c>
    </row>
    <row r="14" spans="1:7" x14ac:dyDescent="0.2">
      <c r="A14" s="30"/>
      <c r="B14" s="30"/>
      <c r="C14" s="30"/>
      <c r="D14" s="36" t="s">
        <v>38</v>
      </c>
      <c r="E14" s="37">
        <f ca="1">NOW()+15018.5+$C$9/24</f>
        <v>60321.535283680561</v>
      </c>
    </row>
    <row r="15" spans="1:7" x14ac:dyDescent="0.2">
      <c r="A15" s="35" t="s">
        <v>18</v>
      </c>
      <c r="B15" s="30"/>
      <c r="C15" s="17">
        <f ca="1">(C7+C11)+(C8+C12)*INT(MAX(F21:F3533))</f>
        <v>54229.814357315161</v>
      </c>
      <c r="D15" s="36" t="s">
        <v>50</v>
      </c>
      <c r="E15" s="37">
        <f ca="1">ROUND(2*(E14-$C$7)/$C$8,0)/2+E13</f>
        <v>22013.5</v>
      </c>
    </row>
    <row r="16" spans="1:7" x14ac:dyDescent="0.2">
      <c r="A16" s="38" t="s">
        <v>4</v>
      </c>
      <c r="B16" s="30"/>
      <c r="C16" s="18">
        <f ca="1">+C8+C12</f>
        <v>0.33677311515059677</v>
      </c>
      <c r="D16" s="36" t="s">
        <v>39</v>
      </c>
      <c r="E16" s="34">
        <f ca="1">ROUND(2*(E14-$C$15)/$C$16,0)/2+E13</f>
        <v>18089.5</v>
      </c>
    </row>
    <row r="17" spans="1:18" ht="13.5" thickBot="1" x14ac:dyDescent="0.25">
      <c r="A17" s="36" t="s">
        <v>33</v>
      </c>
      <c r="B17" s="30"/>
      <c r="C17" s="30">
        <f>COUNT(C21:C2191)</f>
        <v>6</v>
      </c>
      <c r="D17" s="36" t="s">
        <v>40</v>
      </c>
      <c r="E17" s="39">
        <f ca="1">+$C$15+$C$16*E16-15018.5-$C$9/24</f>
        <v>45303.038290498545</v>
      </c>
    </row>
    <row r="18" spans="1:18" x14ac:dyDescent="0.2">
      <c r="A18" s="38" t="s">
        <v>5</v>
      </c>
      <c r="B18" s="30"/>
      <c r="C18" s="40">
        <f ca="1">+C15</f>
        <v>54229.814357315161</v>
      </c>
      <c r="D18" s="41">
        <f ca="1">+C16</f>
        <v>0.33677311515059677</v>
      </c>
      <c r="E18" s="24" t="s">
        <v>41</v>
      </c>
    </row>
    <row r="19" spans="1:18" ht="13.5" thickTop="1" x14ac:dyDescent="0.2">
      <c r="A19" s="42" t="s">
        <v>45</v>
      </c>
      <c r="E19" s="43">
        <v>21</v>
      </c>
      <c r="R19">
        <f ca="1">SQRT(SUM(R21:R26)/(COUNT(R21:R26)-1))</f>
        <v>7.1152017638027839E-3</v>
      </c>
    </row>
    <row r="20" spans="1:18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59</v>
      </c>
      <c r="I20" s="10" t="s">
        <v>62</v>
      </c>
      <c r="J20" s="10" t="s">
        <v>56</v>
      </c>
      <c r="K20" s="10" t="s">
        <v>54</v>
      </c>
      <c r="L20" s="10" t="s">
        <v>93</v>
      </c>
      <c r="M20" s="10" t="s">
        <v>94</v>
      </c>
      <c r="N20" s="10" t="s">
        <v>95</v>
      </c>
      <c r="O20" s="10" t="s">
        <v>24</v>
      </c>
      <c r="P20" s="9" t="s">
        <v>23</v>
      </c>
      <c r="Q20" s="7" t="s">
        <v>15</v>
      </c>
    </row>
    <row r="21" spans="1:18" x14ac:dyDescent="0.2">
      <c r="A21" s="11" t="s">
        <v>31</v>
      </c>
      <c r="B21" s="12"/>
      <c r="C21" s="13">
        <v>52908.313900000001</v>
      </c>
      <c r="D21" s="14">
        <v>1.9E-3</v>
      </c>
      <c r="E21">
        <f t="shared" ref="E21:E26" si="0">+(C21-C$7)/C$8</f>
        <v>0</v>
      </c>
      <c r="F21">
        <f>ROUND(2*E21,0)/2</f>
        <v>0</v>
      </c>
      <c r="G21">
        <f t="shared" ref="G21:G26" si="1">+C21-(C$7+F21*C$8)</f>
        <v>0</v>
      </c>
      <c r="K21">
        <f t="shared" ref="K21:K26" si="2">+G21</f>
        <v>0</v>
      </c>
      <c r="O21">
        <f t="shared" ref="O21:O26" ca="1" si="3">+C$11+C$12*$F21</f>
        <v>2.7534642221758538E-3</v>
      </c>
      <c r="Q21" s="2">
        <f t="shared" ref="Q21:Q26" si="4">+C21-15018.5</f>
        <v>37889.813900000001</v>
      </c>
      <c r="R21">
        <f ca="1">+(O21-K21)^2</f>
        <v>7.5815652228024797E-6</v>
      </c>
    </row>
    <row r="22" spans="1:18" x14ac:dyDescent="0.2">
      <c r="A22" s="11" t="s">
        <v>31</v>
      </c>
      <c r="B22" s="12"/>
      <c r="C22" s="13">
        <v>52908.487500000003</v>
      </c>
      <c r="D22" s="14">
        <v>8.9999999999999998E-4</v>
      </c>
      <c r="E22">
        <f t="shared" si="0"/>
        <v>0.51548534608753027</v>
      </c>
      <c r="F22">
        <f>ROUND(2*E22,0)/2</f>
        <v>0.5</v>
      </c>
      <c r="G22">
        <f t="shared" si="1"/>
        <v>5.2150000046822242E-3</v>
      </c>
      <c r="K22">
        <f t="shared" si="2"/>
        <v>5.2150000046822242E-3</v>
      </c>
      <c r="O22">
        <f t="shared" ca="1" si="3"/>
        <v>2.755021797474228E-3</v>
      </c>
      <c r="Q22" s="2">
        <f t="shared" si="4"/>
        <v>37889.987500000003</v>
      </c>
      <c r="R22">
        <f ca="1">+(O22-K22)^2</f>
        <v>6.0514927799382675E-6</v>
      </c>
    </row>
    <row r="23" spans="1:18" x14ac:dyDescent="0.2">
      <c r="A23" s="11" t="s">
        <v>31</v>
      </c>
      <c r="B23" s="12"/>
      <c r="C23" s="13">
        <v>52930.376100000001</v>
      </c>
      <c r="D23" s="14">
        <v>1.9E-3</v>
      </c>
      <c r="E23">
        <f t="shared" si="0"/>
        <v>65.511179736913334</v>
      </c>
      <c r="F23">
        <f>ROUND(2*E23,0)/2</f>
        <v>65.5</v>
      </c>
      <c r="G23">
        <f t="shared" si="1"/>
        <v>3.7650000012945384E-3</v>
      </c>
      <c r="K23">
        <f t="shared" si="2"/>
        <v>3.7650000012945384E-3</v>
      </c>
      <c r="O23">
        <f t="shared" ca="1" si="3"/>
        <v>2.9575065862628464E-3</v>
      </c>
      <c r="Q23" s="2">
        <f t="shared" si="4"/>
        <v>37911.876100000001</v>
      </c>
      <c r="R23">
        <f ca="1">+(O23-K23)^2</f>
        <v>6.5204561531954439E-7</v>
      </c>
    </row>
    <row r="24" spans="1:18" x14ac:dyDescent="0.2">
      <c r="A24" s="25" t="s">
        <v>42</v>
      </c>
      <c r="B24" s="12" t="s">
        <v>43</v>
      </c>
      <c r="C24" s="14">
        <v>53991.3753</v>
      </c>
      <c r="D24" s="14">
        <v>2E-3</v>
      </c>
      <c r="E24">
        <f t="shared" si="0"/>
        <v>3216.0269620215536</v>
      </c>
      <c r="F24" s="27">
        <f>ROUND(2*E24,0)/2+F$19</f>
        <v>3216</v>
      </c>
      <c r="G24">
        <f t="shared" si="1"/>
        <v>9.0799999961745925E-3</v>
      </c>
      <c r="K24">
        <f t="shared" si="2"/>
        <v>9.0799999961745925E-3</v>
      </c>
      <c r="O24">
        <f t="shared" ca="1" si="3"/>
        <v>1.2771788541317344E-2</v>
      </c>
      <c r="Q24" s="2">
        <f t="shared" si="4"/>
        <v>38972.8753</v>
      </c>
      <c r="R24">
        <f ca="1">+(O24-K24)^2</f>
        <v>1.3629302662047235E-5</v>
      </c>
    </row>
    <row r="25" spans="1:18" x14ac:dyDescent="0.2">
      <c r="A25" s="25" t="s">
        <v>42</v>
      </c>
      <c r="B25" s="12" t="s">
        <v>43</v>
      </c>
      <c r="C25" s="14">
        <v>53991.548300000002</v>
      </c>
      <c r="D25" s="14">
        <v>1.4E-3</v>
      </c>
      <c r="E25">
        <f t="shared" si="0"/>
        <v>3216.5406657362628</v>
      </c>
      <c r="F25" s="27">
        <f>ROUND(2*E25,0)/2+F$19</f>
        <v>3216.5</v>
      </c>
      <c r="G25">
        <f t="shared" si="1"/>
        <v>1.3695000001462176E-2</v>
      </c>
      <c r="K25">
        <f t="shared" si="2"/>
        <v>1.3695000001462176E-2</v>
      </c>
      <c r="O25">
        <f t="shared" ca="1" si="3"/>
        <v>1.2773346116615718E-2</v>
      </c>
      <c r="Q25" s="2">
        <f t="shared" si="4"/>
        <v>38973.048300000002</v>
      </c>
      <c r="R25">
        <f ca="1">+(O25-K25)^2</f>
        <v>8.4944588345256798E-7</v>
      </c>
    </row>
    <row r="26" spans="1:18" x14ac:dyDescent="0.2">
      <c r="A26" s="44" t="s">
        <v>46</v>
      </c>
      <c r="B26" s="45" t="s">
        <v>43</v>
      </c>
      <c r="C26" s="46">
        <v>54229.985000000001</v>
      </c>
      <c r="D26" s="44" t="s">
        <v>47</v>
      </c>
      <c r="E26">
        <f t="shared" si="0"/>
        <v>3924.5511773614026</v>
      </c>
      <c r="F26" s="27">
        <f>ROUND(2*E26,0)/2+F$19</f>
        <v>3924.5</v>
      </c>
      <c r="G26">
        <f t="shared" si="1"/>
        <v>1.7234999999345746E-2</v>
      </c>
      <c r="K26">
        <f t="shared" si="2"/>
        <v>1.7234999999345746E-2</v>
      </c>
      <c r="O26">
        <f t="shared" ca="1" si="3"/>
        <v>1.4978872739113285E-2</v>
      </c>
      <c r="Q26" s="2">
        <f t="shared" si="4"/>
        <v>39211.485000000001</v>
      </c>
      <c r="R26">
        <f ca="1">+(O26-H26)^2</f>
        <v>2.2436662853455113E-4</v>
      </c>
    </row>
    <row r="27" spans="1:18" x14ac:dyDescent="0.2">
      <c r="D27" s="6"/>
      <c r="Q27" s="2"/>
    </row>
    <row r="28" spans="1:18" x14ac:dyDescent="0.2">
      <c r="D28" s="6"/>
      <c r="Q28" s="2"/>
    </row>
    <row r="29" spans="1:18" x14ac:dyDescent="0.2">
      <c r="D29" s="6"/>
      <c r="Q29" s="2"/>
    </row>
    <row r="30" spans="1:18" x14ac:dyDescent="0.2">
      <c r="D30" s="6"/>
      <c r="Q30" s="2"/>
    </row>
    <row r="31" spans="1:18" x14ac:dyDescent="0.2">
      <c r="D31" s="6"/>
      <c r="Q31" s="2"/>
    </row>
    <row r="32" spans="1:18" x14ac:dyDescent="0.2">
      <c r="D32" s="6"/>
      <c r="Q32" s="2"/>
    </row>
    <row r="33" spans="4:4" x14ac:dyDescent="0.2">
      <c r="D33" s="6"/>
    </row>
    <row r="34" spans="4:4" x14ac:dyDescent="0.2">
      <c r="D34" s="6"/>
    </row>
    <row r="35" spans="4:4" x14ac:dyDescent="0.2">
      <c r="D35" s="6"/>
    </row>
    <row r="36" spans="4:4" x14ac:dyDescent="0.2">
      <c r="D36" s="6"/>
    </row>
    <row r="37" spans="4:4" x14ac:dyDescent="0.2">
      <c r="D37" s="6"/>
    </row>
    <row r="38" spans="4:4" x14ac:dyDescent="0.2">
      <c r="D38" s="6"/>
    </row>
    <row r="39" spans="4:4" x14ac:dyDescent="0.2">
      <c r="D39" s="6"/>
    </row>
    <row r="40" spans="4:4" x14ac:dyDescent="0.2">
      <c r="D40" s="6"/>
    </row>
    <row r="41" spans="4:4" x14ac:dyDescent="0.2">
      <c r="D41" s="6"/>
    </row>
    <row r="42" spans="4:4" x14ac:dyDescent="0.2">
      <c r="D42" s="6"/>
    </row>
    <row r="43" spans="4:4" x14ac:dyDescent="0.2">
      <c r="D43" s="6"/>
    </row>
    <row r="44" spans="4:4" x14ac:dyDescent="0.2">
      <c r="D44" s="6"/>
    </row>
    <row r="45" spans="4:4" x14ac:dyDescent="0.2">
      <c r="D45" s="6"/>
    </row>
    <row r="46" spans="4:4" x14ac:dyDescent="0.2">
      <c r="D46" s="6"/>
    </row>
    <row r="47" spans="4:4" x14ac:dyDescent="0.2">
      <c r="D47" s="6"/>
    </row>
    <row r="48" spans="4:4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2"/>
  <sheetViews>
    <sheetView workbookViewId="0">
      <selection activeCell="E11" sqref="E11:E16"/>
    </sheetView>
  </sheetViews>
  <sheetFormatPr defaultRowHeight="12.75" x14ac:dyDescent="0.2"/>
  <cols>
    <col min="1" max="1" width="19.7109375" style="14" customWidth="1"/>
    <col min="2" max="2" width="4.42578125" style="30" customWidth="1"/>
    <col min="3" max="3" width="12.7109375" style="14" customWidth="1"/>
    <col min="4" max="4" width="5.42578125" style="30" customWidth="1"/>
    <col min="5" max="5" width="14.85546875" style="30" customWidth="1"/>
    <col min="6" max="6" width="9.140625" style="30"/>
    <col min="7" max="7" width="12" style="30" customWidth="1"/>
    <col min="8" max="8" width="14.140625" style="14" customWidth="1"/>
    <col min="9" max="9" width="22.5703125" style="30" customWidth="1"/>
    <col min="10" max="10" width="25.140625" style="30" customWidth="1"/>
    <col min="11" max="11" width="15.7109375" style="30" customWidth="1"/>
    <col min="12" max="12" width="14.140625" style="30" customWidth="1"/>
    <col min="13" max="13" width="9.5703125" style="30" customWidth="1"/>
    <col min="14" max="14" width="14.140625" style="30" customWidth="1"/>
    <col min="15" max="15" width="23.42578125" style="30" customWidth="1"/>
    <col min="16" max="16" width="16.5703125" style="30" customWidth="1"/>
    <col min="17" max="17" width="41" style="30" customWidth="1"/>
    <col min="18" max="16384" width="9.140625" style="30"/>
  </cols>
  <sheetData>
    <row r="1" spans="1:16" ht="15.75" x14ac:dyDescent="0.25">
      <c r="A1" s="47" t="s">
        <v>52</v>
      </c>
      <c r="I1" s="48" t="s">
        <v>53</v>
      </c>
      <c r="J1" s="49" t="s">
        <v>54</v>
      </c>
    </row>
    <row r="2" spans="1:16" x14ac:dyDescent="0.2">
      <c r="I2" s="50" t="s">
        <v>55</v>
      </c>
      <c r="J2" s="51" t="s">
        <v>56</v>
      </c>
    </row>
    <row r="3" spans="1:16" x14ac:dyDescent="0.2">
      <c r="A3" s="52" t="s">
        <v>57</v>
      </c>
      <c r="I3" s="50" t="s">
        <v>58</v>
      </c>
      <c r="J3" s="51" t="s">
        <v>59</v>
      </c>
    </row>
    <row r="4" spans="1:16" x14ac:dyDescent="0.2">
      <c r="I4" s="50" t="s">
        <v>60</v>
      </c>
      <c r="J4" s="51" t="s">
        <v>59</v>
      </c>
    </row>
    <row r="5" spans="1:16" ht="13.5" thickBot="1" x14ac:dyDescent="0.25">
      <c r="I5" s="53" t="s">
        <v>61</v>
      </c>
      <c r="J5" s="54" t="s">
        <v>62</v>
      </c>
    </row>
    <row r="10" spans="1:16" ht="13.5" thickBot="1" x14ac:dyDescent="0.25"/>
    <row r="11" spans="1:16" ht="12.75" customHeight="1" thickBot="1" x14ac:dyDescent="0.25">
      <c r="A11" s="14" t="str">
        <f t="shared" ref="A11:A16" si="0">P11</f>
        <v>BAVM 172 </v>
      </c>
      <c r="B11" s="6" t="str">
        <f t="shared" ref="B11:B16" si="1">IF(H11=INT(H11),"I","II")</f>
        <v>II</v>
      </c>
      <c r="C11" s="14">
        <f t="shared" ref="C11:C16" si="2">1*G11</f>
        <v>52908.313900000001</v>
      </c>
      <c r="D11" s="30" t="str">
        <f t="shared" ref="D11:D16" si="3">VLOOKUP(F11,I$1:J$5,2,FALSE)</f>
        <v>vis</v>
      </c>
      <c r="E11" s="55">
        <f>VLOOKUP(C11,Active!C$21:E$973,3,FALSE)</f>
        <v>0</v>
      </c>
      <c r="F11" s="6" t="s">
        <v>61</v>
      </c>
      <c r="G11" s="30" t="str">
        <f t="shared" ref="G11:G16" si="4">MID(I11,3,LEN(I11)-3)</f>
        <v>52908.3139</v>
      </c>
      <c r="H11" s="14">
        <f t="shared" ref="H11:H16" si="5">1*K11</f>
        <v>1211.5</v>
      </c>
      <c r="I11" s="56" t="s">
        <v>63</v>
      </c>
      <c r="J11" s="57" t="s">
        <v>64</v>
      </c>
      <c r="K11" s="56">
        <v>1211.5</v>
      </c>
      <c r="L11" s="56" t="s">
        <v>65</v>
      </c>
      <c r="M11" s="57" t="s">
        <v>66</v>
      </c>
      <c r="N11" s="57" t="s">
        <v>67</v>
      </c>
      <c r="O11" s="58" t="s">
        <v>68</v>
      </c>
      <c r="P11" s="59" t="s">
        <v>69</v>
      </c>
    </row>
    <row r="12" spans="1:16" ht="12.75" customHeight="1" thickBot="1" x14ac:dyDescent="0.25">
      <c r="A12" s="14" t="str">
        <f t="shared" si="0"/>
        <v>BAVM 172 </v>
      </c>
      <c r="B12" s="6" t="str">
        <f t="shared" si="1"/>
        <v>I</v>
      </c>
      <c r="C12" s="14">
        <f t="shared" si="2"/>
        <v>52908.487500000003</v>
      </c>
      <c r="D12" s="30" t="str">
        <f t="shared" si="3"/>
        <v>vis</v>
      </c>
      <c r="E12" s="55">
        <f>VLOOKUP(C12,Active!C$21:E$973,3,FALSE)</f>
        <v>0.85690310480229814</v>
      </c>
      <c r="F12" s="6" t="s">
        <v>61</v>
      </c>
      <c r="G12" s="30" t="str">
        <f t="shared" si="4"/>
        <v>52908.4875</v>
      </c>
      <c r="H12" s="14">
        <f t="shared" si="5"/>
        <v>1212</v>
      </c>
      <c r="I12" s="56" t="s">
        <v>70</v>
      </c>
      <c r="J12" s="57" t="s">
        <v>71</v>
      </c>
      <c r="K12" s="56">
        <v>1212</v>
      </c>
      <c r="L12" s="56" t="s">
        <v>72</v>
      </c>
      <c r="M12" s="57" t="s">
        <v>66</v>
      </c>
      <c r="N12" s="57" t="s">
        <v>67</v>
      </c>
      <c r="O12" s="58" t="s">
        <v>68</v>
      </c>
      <c r="P12" s="59" t="s">
        <v>69</v>
      </c>
    </row>
    <row r="13" spans="1:16" ht="12.75" customHeight="1" thickBot="1" x14ac:dyDescent="0.25">
      <c r="A13" s="14" t="str">
        <f t="shared" si="0"/>
        <v>BAVM 172 </v>
      </c>
      <c r="B13" s="6" t="str">
        <f t="shared" si="1"/>
        <v>I</v>
      </c>
      <c r="C13" s="14">
        <f t="shared" si="2"/>
        <v>52930.376100000001</v>
      </c>
      <c r="D13" s="30" t="str">
        <f t="shared" si="3"/>
        <v>vis</v>
      </c>
      <c r="E13" s="55">
        <f>VLOOKUP(C13,Active!C$21:E$973,3,FALSE)</f>
        <v>108.9007354755926</v>
      </c>
      <c r="F13" s="6" t="s">
        <v>61</v>
      </c>
      <c r="G13" s="30" t="str">
        <f t="shared" si="4"/>
        <v>52930.3761</v>
      </c>
      <c r="H13" s="14">
        <f t="shared" si="5"/>
        <v>1277</v>
      </c>
      <c r="I13" s="56" t="s">
        <v>73</v>
      </c>
      <c r="J13" s="57" t="s">
        <v>74</v>
      </c>
      <c r="K13" s="56">
        <v>1277</v>
      </c>
      <c r="L13" s="56" t="s">
        <v>75</v>
      </c>
      <c r="M13" s="57" t="s">
        <v>66</v>
      </c>
      <c r="N13" s="57" t="s">
        <v>67</v>
      </c>
      <c r="O13" s="58" t="s">
        <v>68</v>
      </c>
      <c r="P13" s="59" t="s">
        <v>69</v>
      </c>
    </row>
    <row r="14" spans="1:16" ht="12.75" customHeight="1" thickBot="1" x14ac:dyDescent="0.25">
      <c r="A14" s="14" t="str">
        <f t="shared" si="0"/>
        <v>BAVM 183 </v>
      </c>
      <c r="B14" s="6" t="str">
        <f t="shared" si="1"/>
        <v>I</v>
      </c>
      <c r="C14" s="14">
        <f t="shared" si="2"/>
        <v>53991.3753</v>
      </c>
      <c r="D14" s="30" t="str">
        <f t="shared" si="3"/>
        <v>vis</v>
      </c>
      <c r="E14" s="55">
        <f>VLOOKUP(C14,Active!C$21:E$973,3,FALSE)</f>
        <v>5346.0753245471087</v>
      </c>
      <c r="F14" s="6" t="s">
        <v>61</v>
      </c>
      <c r="G14" s="30" t="str">
        <f t="shared" si="4"/>
        <v>53991.3753</v>
      </c>
      <c r="H14" s="14">
        <f t="shared" si="5"/>
        <v>4427</v>
      </c>
      <c r="I14" s="56" t="s">
        <v>76</v>
      </c>
      <c r="J14" s="57" t="s">
        <v>77</v>
      </c>
      <c r="K14" s="56">
        <v>4427</v>
      </c>
      <c r="L14" s="56" t="s">
        <v>78</v>
      </c>
      <c r="M14" s="57" t="s">
        <v>79</v>
      </c>
      <c r="N14" s="57" t="s">
        <v>80</v>
      </c>
      <c r="O14" s="58" t="s">
        <v>68</v>
      </c>
      <c r="P14" s="59" t="s">
        <v>81</v>
      </c>
    </row>
    <row r="15" spans="1:16" ht="12.75" customHeight="1" thickBot="1" x14ac:dyDescent="0.25">
      <c r="A15" s="14" t="str">
        <f t="shared" si="0"/>
        <v>BAVM 183 </v>
      </c>
      <c r="B15" s="6" t="str">
        <f t="shared" si="1"/>
        <v>II</v>
      </c>
      <c r="C15" s="14">
        <f t="shared" si="2"/>
        <v>53991.548300000002</v>
      </c>
      <c r="D15" s="30" t="str">
        <f t="shared" si="3"/>
        <v>vis</v>
      </c>
      <c r="E15" s="55">
        <f>VLOOKUP(C15,Active!C$21:E$973,3,FALSE)</f>
        <v>5346.9292660052379</v>
      </c>
      <c r="F15" s="6" t="s">
        <v>61</v>
      </c>
      <c r="G15" s="30" t="str">
        <f t="shared" si="4"/>
        <v>53991.5483</v>
      </c>
      <c r="H15" s="14">
        <f t="shared" si="5"/>
        <v>4427.5</v>
      </c>
      <c r="I15" s="56" t="s">
        <v>82</v>
      </c>
      <c r="J15" s="57" t="s">
        <v>83</v>
      </c>
      <c r="K15" s="56" t="s">
        <v>84</v>
      </c>
      <c r="L15" s="56" t="s">
        <v>85</v>
      </c>
      <c r="M15" s="57" t="s">
        <v>79</v>
      </c>
      <c r="N15" s="57" t="s">
        <v>80</v>
      </c>
      <c r="O15" s="58" t="s">
        <v>68</v>
      </c>
      <c r="P15" s="59" t="s">
        <v>81</v>
      </c>
    </row>
    <row r="16" spans="1:16" ht="12.75" customHeight="1" thickBot="1" x14ac:dyDescent="0.25">
      <c r="A16" s="14" t="str">
        <f t="shared" si="0"/>
        <v>OEJV 0155 </v>
      </c>
      <c r="B16" s="6" t="str">
        <f t="shared" si="1"/>
        <v>II</v>
      </c>
      <c r="C16" s="14">
        <f t="shared" si="2"/>
        <v>54229.985000000001</v>
      </c>
      <c r="D16" s="30" t="str">
        <f t="shared" si="3"/>
        <v>vis</v>
      </c>
      <c r="E16" s="55">
        <f>VLOOKUP(C16,Active!C$21:E$973,3,FALSE)</f>
        <v>6523.8713658127235</v>
      </c>
      <c r="F16" s="6" t="s">
        <v>61</v>
      </c>
      <c r="G16" s="30" t="str">
        <f t="shared" si="4"/>
        <v>54229.9850</v>
      </c>
      <c r="H16" s="14">
        <f t="shared" si="5"/>
        <v>5135.5</v>
      </c>
      <c r="I16" s="56" t="s">
        <v>86</v>
      </c>
      <c r="J16" s="57" t="s">
        <v>87</v>
      </c>
      <c r="K16" s="56" t="s">
        <v>88</v>
      </c>
      <c r="L16" s="56" t="s">
        <v>89</v>
      </c>
      <c r="M16" s="57" t="s">
        <v>79</v>
      </c>
      <c r="N16" s="57" t="s">
        <v>90</v>
      </c>
      <c r="O16" s="58" t="s">
        <v>91</v>
      </c>
      <c r="P16" s="59" t="s">
        <v>92</v>
      </c>
    </row>
    <row r="17" spans="2:6" x14ac:dyDescent="0.2">
      <c r="B17" s="6"/>
      <c r="F17" s="6"/>
    </row>
    <row r="18" spans="2:6" x14ac:dyDescent="0.2">
      <c r="B18" s="6"/>
      <c r="F18" s="6"/>
    </row>
    <row r="19" spans="2:6" x14ac:dyDescent="0.2">
      <c r="B19" s="6"/>
      <c r="F19" s="6"/>
    </row>
    <row r="20" spans="2:6" x14ac:dyDescent="0.2">
      <c r="B20" s="6"/>
      <c r="F20" s="6"/>
    </row>
    <row r="21" spans="2:6" x14ac:dyDescent="0.2">
      <c r="B21" s="6"/>
      <c r="F21" s="6"/>
    </row>
    <row r="22" spans="2:6" x14ac:dyDescent="0.2">
      <c r="B22" s="6"/>
      <c r="F22" s="6"/>
    </row>
    <row r="23" spans="2:6" x14ac:dyDescent="0.2">
      <c r="B23" s="6"/>
      <c r="F23" s="6"/>
    </row>
    <row r="24" spans="2:6" x14ac:dyDescent="0.2">
      <c r="B24" s="6"/>
      <c r="F24" s="6"/>
    </row>
    <row r="25" spans="2:6" x14ac:dyDescent="0.2">
      <c r="B25" s="6"/>
      <c r="F25" s="6"/>
    </row>
    <row r="26" spans="2:6" x14ac:dyDescent="0.2">
      <c r="B26" s="6"/>
      <c r="F26" s="6"/>
    </row>
    <row r="27" spans="2:6" x14ac:dyDescent="0.2">
      <c r="B27" s="6"/>
      <c r="F27" s="6"/>
    </row>
    <row r="28" spans="2:6" x14ac:dyDescent="0.2">
      <c r="B28" s="6"/>
      <c r="F28" s="6"/>
    </row>
    <row r="29" spans="2:6" x14ac:dyDescent="0.2">
      <c r="B29" s="6"/>
      <c r="F29" s="6"/>
    </row>
    <row r="30" spans="2:6" x14ac:dyDescent="0.2">
      <c r="B30" s="6"/>
      <c r="F30" s="6"/>
    </row>
    <row r="31" spans="2:6" x14ac:dyDescent="0.2">
      <c r="B31" s="6"/>
      <c r="F31" s="6"/>
    </row>
    <row r="32" spans="2:6" x14ac:dyDescent="0.2">
      <c r="B32" s="6"/>
      <c r="F32" s="6"/>
    </row>
    <row r="33" spans="2:6" x14ac:dyDescent="0.2">
      <c r="B33" s="6"/>
      <c r="F33" s="6"/>
    </row>
    <row r="34" spans="2:6" x14ac:dyDescent="0.2">
      <c r="B34" s="6"/>
      <c r="F34" s="6"/>
    </row>
    <row r="35" spans="2:6" x14ac:dyDescent="0.2">
      <c r="B35" s="6"/>
      <c r="F35" s="6"/>
    </row>
    <row r="36" spans="2:6" x14ac:dyDescent="0.2">
      <c r="B36" s="6"/>
      <c r="F36" s="6"/>
    </row>
    <row r="37" spans="2:6" x14ac:dyDescent="0.2">
      <c r="B37" s="6"/>
      <c r="F37" s="6"/>
    </row>
    <row r="38" spans="2:6" x14ac:dyDescent="0.2">
      <c r="B38" s="6"/>
      <c r="F38" s="6"/>
    </row>
    <row r="39" spans="2:6" x14ac:dyDescent="0.2">
      <c r="B39" s="6"/>
      <c r="F39" s="6"/>
    </row>
    <row r="40" spans="2:6" x14ac:dyDescent="0.2">
      <c r="B40" s="6"/>
      <c r="F40" s="6"/>
    </row>
    <row r="41" spans="2:6" x14ac:dyDescent="0.2">
      <c r="B41" s="6"/>
      <c r="F41" s="6"/>
    </row>
    <row r="42" spans="2:6" x14ac:dyDescent="0.2">
      <c r="B42" s="6"/>
      <c r="F42" s="6"/>
    </row>
    <row r="43" spans="2:6" x14ac:dyDescent="0.2">
      <c r="B43" s="6"/>
      <c r="F43" s="6"/>
    </row>
    <row r="44" spans="2:6" x14ac:dyDescent="0.2">
      <c r="B44" s="6"/>
      <c r="F44" s="6"/>
    </row>
    <row r="45" spans="2:6" x14ac:dyDescent="0.2">
      <c r="B45" s="6"/>
      <c r="F45" s="6"/>
    </row>
    <row r="46" spans="2:6" x14ac:dyDescent="0.2">
      <c r="B46" s="6"/>
      <c r="F46" s="6"/>
    </row>
    <row r="47" spans="2:6" x14ac:dyDescent="0.2">
      <c r="B47" s="6"/>
      <c r="F47" s="6"/>
    </row>
    <row r="48" spans="2:6" x14ac:dyDescent="0.2">
      <c r="B48" s="6"/>
      <c r="F48" s="6"/>
    </row>
    <row r="49" spans="2:6" x14ac:dyDescent="0.2">
      <c r="B49" s="6"/>
      <c r="F49" s="6"/>
    </row>
    <row r="50" spans="2:6" x14ac:dyDescent="0.2">
      <c r="B50" s="6"/>
      <c r="F50" s="6"/>
    </row>
    <row r="51" spans="2:6" x14ac:dyDescent="0.2">
      <c r="B51" s="6"/>
      <c r="F51" s="6"/>
    </row>
    <row r="52" spans="2:6" x14ac:dyDescent="0.2">
      <c r="B52" s="6"/>
      <c r="F52" s="6"/>
    </row>
    <row r="53" spans="2:6" x14ac:dyDescent="0.2">
      <c r="B53" s="6"/>
      <c r="F53" s="6"/>
    </row>
    <row r="54" spans="2:6" x14ac:dyDescent="0.2">
      <c r="B54" s="6"/>
      <c r="F54" s="6"/>
    </row>
    <row r="55" spans="2:6" x14ac:dyDescent="0.2">
      <c r="B55" s="6"/>
      <c r="F55" s="6"/>
    </row>
    <row r="56" spans="2:6" x14ac:dyDescent="0.2">
      <c r="B56" s="6"/>
      <c r="F56" s="6"/>
    </row>
    <row r="57" spans="2:6" x14ac:dyDescent="0.2">
      <c r="B57" s="6"/>
      <c r="F57" s="6"/>
    </row>
    <row r="58" spans="2:6" x14ac:dyDescent="0.2">
      <c r="B58" s="6"/>
      <c r="F58" s="6"/>
    </row>
    <row r="59" spans="2:6" x14ac:dyDescent="0.2">
      <c r="B59" s="6"/>
      <c r="F59" s="6"/>
    </row>
    <row r="60" spans="2:6" x14ac:dyDescent="0.2">
      <c r="B60" s="6"/>
      <c r="F60" s="6"/>
    </row>
    <row r="61" spans="2:6" x14ac:dyDescent="0.2">
      <c r="B61" s="6"/>
      <c r="F61" s="6"/>
    </row>
    <row r="62" spans="2:6" x14ac:dyDescent="0.2">
      <c r="B62" s="6"/>
      <c r="F62" s="6"/>
    </row>
    <row r="63" spans="2:6" x14ac:dyDescent="0.2">
      <c r="B63" s="6"/>
      <c r="F63" s="6"/>
    </row>
    <row r="64" spans="2: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</sheetData>
  <phoneticPr fontId="8" type="noConversion"/>
  <hyperlinks>
    <hyperlink ref="A3" r:id="rId1"/>
    <hyperlink ref="P11" r:id="rId2" display="http://www.bav-astro.de/sfs/BAVM_link.php?BAVMnr=172"/>
    <hyperlink ref="P12" r:id="rId3" display="http://www.bav-astro.de/sfs/BAVM_link.php?BAVMnr=172"/>
    <hyperlink ref="P13" r:id="rId4" display="http://www.bav-astro.de/sfs/BAVM_link.php?BAVMnr=172"/>
    <hyperlink ref="P14" r:id="rId5" display="http://www.bav-astro.de/sfs/BAVM_link.php?BAVMnr=183"/>
    <hyperlink ref="P15" r:id="rId6" display="http://www.bav-astro.de/sfs/BAVM_link.php?BAVMnr=183"/>
    <hyperlink ref="P16" r:id="rId7" display="http://var.astro.cz/oejv/issues/oejv0155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</vt:lpstr>
      <vt:lpstr>C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2024-01-11T06:20:48Z</dcterms:modified>
</cp:coreProperties>
</file>