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47C22C6-5BFA-4247-B8EF-58CE27C81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F14" i="1"/>
  <c r="Q24" i="1"/>
  <c r="F11" i="1"/>
  <c r="Q23" i="1"/>
  <c r="G11" i="1"/>
  <c r="E24" i="1"/>
  <c r="F24" i="1" s="1"/>
  <c r="G24" i="1" s="1"/>
  <c r="I24" i="1" s="1"/>
  <c r="E21" i="1"/>
  <c r="F21" i="1" s="1"/>
  <c r="G21" i="1" s="1"/>
  <c r="H21" i="1" s="1"/>
  <c r="C17" i="1"/>
  <c r="Q21" i="1"/>
  <c r="E23" i="1"/>
  <c r="F23" i="1" s="1"/>
  <c r="G23" i="1" s="1"/>
  <c r="I23" i="1" s="1"/>
  <c r="C12" i="1"/>
  <c r="F15" i="1" l="1"/>
  <c r="C16" i="1"/>
  <c r="D18" i="1" s="1"/>
  <c r="C11" i="1"/>
  <c r="O22" i="1" l="1"/>
  <c r="C15" i="1"/>
  <c r="O21" i="1"/>
  <c r="O24" i="1"/>
  <c r="O23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<sst xmlns="http://schemas.openxmlformats.org/spreadsheetml/2006/main" count="56" uniqueCount="51">
  <si>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</si>
  <si>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</si>
  <si>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</si>
  <si>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</si>
  <si>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</si>
  <si>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</si>
  <si>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</si>
  <si>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</si>
  <si>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</si>
  <si>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</si>
  <si>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</si>
  <si>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</si>
  <si>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</si>
  <si>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</si>
  <si>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</si>
  <si>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</si>
  <si>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</si>
  <si>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</si>
  <si>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</si>
  <si>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</si>
  <si>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</si>
  <si>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</si>
  <si>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</si>
  <si>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</si>
  <si>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</si>
  <si>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</si>
  <si>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</si>
  <si>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</si>
  <si>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</si>
  <si>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</si>
  <si>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</si>
  <si>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</si>
  <si>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</si>
  <si>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</si>
  <si>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</si>
  <si>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</si>
  <si>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IW Ara / GSC 8740-1128</t>
  </si>
  <si>
    <t>OEJV 0048</t>
  </si>
  <si>
    <t>not avail.</t>
  </si>
  <si>
    <t>I</t>
  </si>
  <si>
    <t>E</t>
  </si>
  <si>
    <t>OEJV 0160</t>
  </si>
  <si>
    <t>Add cycle</t>
  </si>
  <si>
    <t>Old Cycle</t>
  </si>
  <si>
    <t>CCD</t>
  </si>
  <si>
    <t xml:space="preserve">Mag </t>
  </si>
  <si>
    <t>Next ToM-P</t>
  </si>
  <si>
    <t>Next ToM-S</t>
  </si>
  <si>
    <t>13.90-14.50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</si>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</sst>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0" borderId="0" xfId="0" applyFont="1" applyAlignment="1"/>
    <xf numFmtId="0" fontId="5" fillId="2" borderId="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5" fillId="0" borderId="1" xfId="0" applyFont="1" applyBorder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Ara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-48031.5</c:v>
                </c:pt>
                <c:pt idx="1">
                  <c:v>0</c:v>
                </c:pt>
                <c:pt idx="2">
                  <c:v>3692.5</c:v>
                </c:pt>
                <c:pt idx="3">
                  <c:v>8323.5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-5.9225000000878936E-2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25-4BFE-88BB-EE03536863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-48031.5</c:v>
                </c:pt>
                <c:pt idx="1">
                  <c:v>0</c:v>
                </c:pt>
                <c:pt idx="2">
                  <c:v>3692.5</c:v>
                </c:pt>
                <c:pt idx="3">
                  <c:v>8323.5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7.3749999937717803E-3</c:v>
                </c:pt>
                <c:pt idx="3">
                  <c:v>1.5205000003334135E-2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25-4BFE-88BB-EE03536863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-48031.5</c:v>
                </c:pt>
                <c:pt idx="1">
                  <c:v>0</c:v>
                </c:pt>
                <c:pt idx="2">
                  <c:v>3692.5</c:v>
                </c:pt>
                <c:pt idx="3">
                  <c:v>8323.5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25-4BFE-88BB-EE03536863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-48031.5</c:v>
                </c:pt>
                <c:pt idx="1">
                  <c:v>0</c:v>
                </c:pt>
                <c:pt idx="2">
                  <c:v>3692.5</c:v>
                </c:pt>
                <c:pt idx="3">
                  <c:v>8323.5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25-4BFE-88BB-EE03536863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-48031.5</c:v>
                </c:pt>
                <c:pt idx="1">
                  <c:v>0</c:v>
                </c:pt>
                <c:pt idx="2">
                  <c:v>3692.5</c:v>
                </c:pt>
                <c:pt idx="3">
                  <c:v>8323.5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25-4BFE-88BB-EE03536863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-48031.5</c:v>
                </c:pt>
                <c:pt idx="1">
                  <c:v>0</c:v>
                </c:pt>
                <c:pt idx="2">
                  <c:v>3692.5</c:v>
                </c:pt>
                <c:pt idx="3">
                  <c:v>8323.5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25-4BFE-88BB-EE03536863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6.0000000000000001E-3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-48031.5</c:v>
                </c:pt>
                <c:pt idx="1">
                  <c:v>0</c:v>
                </c:pt>
                <c:pt idx="2">
                  <c:v>3692.5</c:v>
                </c:pt>
                <c:pt idx="3">
                  <c:v>8323.5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25-4BFE-88BB-EE03536863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-48031.5</c:v>
                </c:pt>
                <c:pt idx="1">
                  <c:v>0</c:v>
                </c:pt>
                <c:pt idx="2">
                  <c:v>3692.5</c:v>
                </c:pt>
                <c:pt idx="3">
                  <c:v>8323.5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-5.9578808650098236E-2</c:v>
                </c:pt>
                <c:pt idx="1">
                  <c:v>2.4703416186380098E-3</c:v>
                </c:pt>
                <c:pt idx="2">
                  <c:v>7.2404713744713394E-3</c:v>
                </c:pt>
                <c:pt idx="3">
                  <c:v>1.3222995653215863E-2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25-4BFE-88BB-EE035368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185720"/>
        <c:axId val="1"/>
      </c:scatterChart>
      <c:valAx>
        <c:axId val="52718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185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2EA024-467A-988B-DF4C-0731F7D4C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855468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36</v>
      </c>
    </row>
    <row r="2" spans="1:7" ht="12.95" customHeight="1">
      <c r="A2" t="s">
        <v>24</v>
      </c>
      <c r="B2" t="s">
        <v>40</v>
      </c>
      <c r="C2" s="3"/>
      <c r="D2" s="3"/>
    </row>
    <row r="3" spans="1:7" ht="12.95" customHeight="1" thickBot="1"/>
    <row r="4" spans="1:7" ht="12.95" customHeight="1" thickTop="1" thickBot="1">
      <c r="A4" s="5" t="s">
        <v>0</v>
      </c>
      <c r="C4" s="8">
        <v>26154.46</v>
      </c>
      <c r="D4" s="9" t="s">
        <v>38</v>
      </c>
    </row>
    <row r="5" spans="1:7" ht="12.95" customHeight="1"/>
    <row r="6" spans="1:7" ht="12.95" customHeight="1">
      <c r="A6" s="5" t="s">
        <v>1</v>
      </c>
    </row>
    <row r="7" spans="1:7" ht="12.95" customHeight="1">
      <c r="A7" t="s">
        <v>2</v>
      </c>
      <c r="C7">
        <v>51940.23</v>
      </c>
      <c r="D7" s="34" t="s">
        <v>49</v>
      </c>
    </row>
    <row r="8" spans="1:7" ht="12.95" customHeight="1">
      <c r="A8" t="s">
        <v>3</v>
      </c>
      <c r="C8">
        <v>0.53685000000000005</v>
      </c>
      <c r="D8" s="44" t="s">
        <v>49</v>
      </c>
      <c r="E8">
        <v>0.53685130000000003</v>
      </c>
      <c r="F8" t="s">
        <v>37</v>
      </c>
    </row>
    <row r="9" spans="1:7" ht="12.95" customHeight="1">
      <c r="A9" s="11" t="s">
        <v>31</v>
      </c>
      <c r="B9" s="12"/>
      <c r="C9" s="13">
        <v>-9.5</v>
      </c>
      <c r="D9" s="12" t="s">
        <v>32</v>
      </c>
      <c r="E9" s="12"/>
    </row>
    <row r="10" spans="1:7" ht="12.95" customHeight="1" thickBot="1">
      <c r="A10" s="12"/>
      <c r="B10" s="12"/>
      <c r="C10" s="4" t="s">
        <v>20</v>
      </c>
      <c r="D10" s="4" t="s">
        <v>21</v>
      </c>
      <c r="E10" s="12"/>
    </row>
    <row r="11" spans="1:7" ht="12.95" customHeight="1">
      <c r="A11" s="12" t="s">
        <v>16</v>
      </c>
      <c r="B11" s="12"/>
      <c r="C11" s="21">
        <f ca="1">INTERCEPT(INDIRECT($G$11):G992,INDIRECT($F$11):F992)</f>
        <v>2.4703416186380098E-3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ht="12.95" customHeight="1">
      <c r="A12" s="12" t="s">
        <v>17</v>
      </c>
      <c r="B12" s="12"/>
      <c r="C12" s="21">
        <f ca="1">SLOPE(INDIRECT($G$11):G992,INDIRECT($F$11):F992)</f>
        <v>1.291842858722635E-6</v>
      </c>
      <c r="D12" s="3"/>
      <c r="E12" s="35" t="s">
        <v>45</v>
      </c>
      <c r="F12" s="36" t="s">
        <v>48</v>
      </c>
    </row>
    <row r="13" spans="1:7" ht="12.95" customHeight="1">
      <c r="A13" s="12" t="s">
        <v>19</v>
      </c>
      <c r="B13" s="12"/>
      <c r="C13" s="3" t="s">
        <v>14</v>
      </c>
      <c r="D13" s="16"/>
      <c r="E13" s="37" t="s">
        <v>42</v>
      </c>
      <c r="F13" s="38">
        <v>1</v>
      </c>
    </row>
    <row r="14" spans="1:7" ht="12.95" customHeight="1">
      <c r="A14" s="12"/>
      <c r="B14" s="12"/>
      <c r="C14" s="12"/>
      <c r="D14" s="16"/>
      <c r="E14" s="37" t="s">
        <v>33</v>
      </c>
      <c r="F14" s="39">
        <f ca="1">NOW()+15018.5+$C$9/24</f>
        <v>60514.758628240736</v>
      </c>
    </row>
    <row r="15" spans="1:7" ht="12.95" customHeight="1">
      <c r="A15" s="14" t="s">
        <v>18</v>
      </c>
      <c r="B15" s="12"/>
      <c r="C15" s="15">
        <f ca="1">(C7+C11)+(C8+C12)*INT(MAX(F21:F3533))</f>
        <v>56408.445772349733</v>
      </c>
      <c r="D15" s="16"/>
      <c r="E15" s="37" t="s">
        <v>43</v>
      </c>
      <c r="F15" s="39">
        <f ca="1">ROUND(2*($F$14-$C$7)/$C$8,0)/2+$F$13</f>
        <v>15973</v>
      </c>
    </row>
    <row r="16" spans="1:7" ht="12.95" customHeight="1">
      <c r="A16" s="17" t="s">
        <v>4</v>
      </c>
      <c r="B16" s="12"/>
      <c r="C16" s="18">
        <f ca="1">+C8+C12</f>
        <v>0.53685129184285874</v>
      </c>
      <c r="D16" s="16"/>
      <c r="E16" s="37" t="s">
        <v>34</v>
      </c>
      <c r="F16" s="39">
        <f ca="1">ROUND(2*($F$14-$C$15)/$C$16,0)/2+$F$13</f>
        <v>7650</v>
      </c>
    </row>
    <row r="17" spans="1:17" ht="12.95" customHeight="1" thickBot="1">
      <c r="A17" s="16" t="s">
        <v>30</v>
      </c>
      <c r="B17" s="12"/>
      <c r="C17" s="12">
        <f>COUNT(C21:C2191)</f>
        <v>4</v>
      </c>
      <c r="D17" s="16"/>
      <c r="E17" s="40" t="s">
        <v>46</v>
      </c>
      <c r="F17" s="41">
        <f ca="1">+$C$15+$C$16*$F$16-15018.5-$C$9/24</f>
        <v>45497.253988280936</v>
      </c>
    </row>
    <row r="18" spans="1:17" ht="12.95" customHeight="1" thickTop="1" thickBot="1">
      <c r="A18" s="17" t="s">
        <v>5</v>
      </c>
      <c r="B18" s="12"/>
      <c r="C18" s="19">
        <f ca="1">+C15</f>
        <v>56408.445772349733</v>
      </c>
      <c r="D18" s="20">
        <f ca="1">+C16</f>
        <v>0.53685129184285874</v>
      </c>
      <c r="E18" s="43" t="s">
        <v>47</v>
      </c>
      <c r="F18" s="42">
        <f ca="1">+($C$15+$C$16*$F$16)-($C$16/2)-15018.5-$C$9/24</f>
        <v>45496.985562635018</v>
      </c>
    </row>
    <row r="19" spans="1:17" ht="12.95" customHeight="1" thickTop="1">
      <c r="A19" s="24" t="s">
        <v>35</v>
      </c>
      <c r="E19" s="25">
        <v>21</v>
      </c>
    </row>
    <row r="20" spans="1:17" ht="12.95" customHeight="1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50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ht="12.95" customHeight="1">
      <c r="A21" s="26" t="s">
        <v>12</v>
      </c>
      <c r="B21" s="26"/>
      <c r="C21" s="27">
        <v>26154.46</v>
      </c>
      <c r="D21" s="27" t="s">
        <v>14</v>
      </c>
      <c r="E21">
        <f>+(C21-C$7)/C$8</f>
        <v>-48031.610319456093</v>
      </c>
      <c r="F21">
        <f>ROUND(2*E21,0)/2</f>
        <v>-48031.5</v>
      </c>
      <c r="G21">
        <f>+C21-(C$7+F21*C$8)</f>
        <v>-5.9225000000878936E-2</v>
      </c>
      <c r="H21">
        <f>+G21</f>
        <v>-5.9225000000878936E-2</v>
      </c>
      <c r="O21">
        <f ca="1">+C$11+C$12*$F21</f>
        <v>-5.9578808650098236E-2</v>
      </c>
      <c r="Q21" s="2">
        <f>+C21-15018.5</f>
        <v>11135.96</v>
      </c>
    </row>
    <row r="22" spans="1:17" ht="12.95" customHeight="1">
      <c r="A22" s="34" t="s">
        <v>49</v>
      </c>
      <c r="C22" s="10">
        <v>51940.23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2.4703416186380098E-3</v>
      </c>
      <c r="Q22" s="2">
        <f>+C22-15018.5</f>
        <v>36921.730000000003</v>
      </c>
    </row>
    <row r="23" spans="1:17" ht="12.95" customHeight="1">
      <c r="A23" s="28" t="s">
        <v>37</v>
      </c>
      <c r="B23" s="29" t="s">
        <v>39</v>
      </c>
      <c r="C23" s="30">
        <v>53922.555999999997</v>
      </c>
      <c r="D23" s="30">
        <v>6.0000000000000001E-3</v>
      </c>
      <c r="E23">
        <f>+(C23-C$7)/C$8</f>
        <v>3692.5137375430631</v>
      </c>
      <c r="F23">
        <f>ROUND(2*E23,0)/2</f>
        <v>3692.5</v>
      </c>
      <c r="G23">
        <f>+C23-(C$7+F23*C$8)</f>
        <v>7.3749999937717803E-3</v>
      </c>
      <c r="I23">
        <f>+G23</f>
        <v>7.3749999937717803E-3</v>
      </c>
      <c r="O23">
        <f ca="1">+C$11+C$12*$F23</f>
        <v>7.2404713744713394E-3</v>
      </c>
      <c r="Q23" s="2">
        <f>+C23-15018.5</f>
        <v>38904.055999999997</v>
      </c>
    </row>
    <row r="24" spans="1:17" ht="12.95" customHeight="1">
      <c r="A24" s="31" t="s">
        <v>41</v>
      </c>
      <c r="B24" s="32" t="s">
        <v>39</v>
      </c>
      <c r="C24" s="33">
        <v>56408.716180000003</v>
      </c>
      <c r="D24" s="33">
        <v>2.0000000000000001E-4</v>
      </c>
      <c r="E24">
        <f>+(C24-C$7)/C$8</f>
        <v>8323.5283226227057</v>
      </c>
      <c r="F24">
        <f>ROUND(2*E24,0)/2</f>
        <v>8323.5</v>
      </c>
      <c r="G24">
        <f>+C24-(C$7+F24*C$8)</f>
        <v>1.5205000003334135E-2</v>
      </c>
      <c r="I24">
        <f>+G24</f>
        <v>1.5205000003334135E-2</v>
      </c>
      <c r="O24">
        <f ca="1">+C$11+C$12*$F24</f>
        <v>1.3222995653215863E-2</v>
      </c>
      <c r="Q24" s="2">
        <f>+C24-15018.5</f>
        <v>41390.216180000003</v>
      </c>
    </row>
    <row r="25" spans="1:17" ht="12.95" customHeight="1">
      <c r="C25" s="10"/>
      <c r="D25" s="10"/>
      <c r="Q25" s="2"/>
    </row>
    <row r="26" spans="1:17" ht="12.95" customHeight="1">
      <c r="C26" s="10"/>
      <c r="D26" s="10"/>
      <c r="Q26" s="2"/>
    </row>
    <row r="27" spans="1:17" ht="12.95" customHeight="1">
      <c r="C27" s="10"/>
      <c r="D27" s="10"/>
      <c r="Q27" s="2"/>
    </row>
    <row r="28" spans="1:17" ht="12.95" customHeight="1">
      <c r="C28" s="10"/>
      <c r="D28" s="10"/>
      <c r="Q28" s="2"/>
    </row>
    <row r="29" spans="1:17" ht="12.95" customHeight="1">
      <c r="C29" s="10"/>
      <c r="D29" s="10"/>
      <c r="Q29" s="2"/>
    </row>
    <row r="30" spans="1:17" ht="12.95" customHeight="1">
      <c r="C30" s="10"/>
      <c r="D30" s="10"/>
      <c r="Q30" s="2"/>
    </row>
    <row r="31" spans="1:17" ht="12.95" customHeight="1">
      <c r="C31" s="10"/>
      <c r="D31" s="10"/>
      <c r="Q31" s="2"/>
    </row>
    <row r="32" spans="1:17" ht="12.95" customHeight="1">
      <c r="C32" s="10"/>
      <c r="D32" s="10"/>
      <c r="Q32" s="2"/>
    </row>
    <row r="33" spans="3:17" ht="12.95" customHeight="1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sortState xmlns:xlrd2="http://schemas.microsoft.com/office/spreadsheetml/2017/richdata2" ref="A21:W30">
    <sortCondition ref="C21:C3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2024-07-23T06:12:25Z</dcterms:modified>
</cp:coreProperties>
</file>