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2676C19-452A-472F-8B35-AF29D9CC1D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I22" i="1"/>
  <c r="Q22" i="1"/>
  <c r="G11" i="1"/>
  <c r="F11" i="1"/>
  <c r="E21" i="1"/>
  <c r="F21" i="1"/>
  <c r="G21" i="1"/>
  <c r="H21" i="1"/>
  <c r="C17" i="1"/>
  <c r="Q21" i="1"/>
  <c r="C12" i="1"/>
  <c r="F15" i="1" l="1"/>
  <c r="C16" i="1"/>
  <c r="D18" i="1" s="1"/>
  <c r="C11" i="1"/>
  <c r="O21" i="1" l="1"/>
  <c r="O22" i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<sst xmlns="http://schemas.openxmlformats.org/spreadsheetml/2006/main" count="55" uniqueCount="48">
  <si>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</si>
  <si>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</si>
  <si>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</si>
  <si>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</si>
  <si>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</si>
  <si>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</si>
  <si>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</si>
  <si>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</si>
  <si>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</si>
  <si>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</si>
  <si>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</si>
  <si>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</si>
  <si>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</si>
  <si>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</si>
  <si>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</si>
  <si>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</si>
  <si>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</si>
  <si>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</si>
  <si>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</si>
  <si>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</si>
  <si>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</si>
  <si>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</si>
  <si>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</si>
  <si>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</si>
  <si>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</si>
  <si>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</si>
  <si>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</si>
  <si>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</si>
  <si>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</si>
  <si>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</si>
  <si>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</si>
  <si>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</si>
  <si>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</si>
  <si>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</si>
  <si>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</si>
  <si>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OW Ara / GSC 8750-0006</t>
  </si>
  <si>
    <t>OEJV 0048</t>
  </si>
  <si>
    <t>I</t>
  </si>
  <si>
    <t>GRAV</t>
  </si>
  <si>
    <t>not avail.</t>
  </si>
  <si>
    <t>EA</t>
  </si>
  <si>
    <t>OEJV</t>
  </si>
  <si>
    <t>CCD</t>
  </si>
  <si>
    <t xml:space="preserve">Mag </t>
  </si>
  <si>
    <t>Add cycle</t>
  </si>
  <si>
    <t>Old Cycle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</si>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</sst>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 Unicode MS"/>
      <family val="2"/>
    </font>
    <font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/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22" fontId="16" fillId="0" borderId="7" xfId="0" applyNumberFormat="1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OW Ara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85714285714286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GRAV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FD-4B7A-B5E0-AC4447F61C1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-5.6960000001708977E-2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FD-4B7A-B5E0-AC4447F61C1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FD-4B7A-B5E0-AC4447F61C1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FD-4B7A-B5E0-AC4447F61C1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FD-4B7A-B5E0-AC4447F61C1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FD-4B7A-B5E0-AC4447F61C1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FD-4B7A-B5E0-AC4447F61C1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-5.6960000001708977E-2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FD-4B7A-B5E0-AC4447F61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128048"/>
        <c:axId val="1"/>
      </c:scatterChart>
      <c:valAx>
        <c:axId val="418128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128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661654135338346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4260C46-869F-1760-C087-E3A5D4D3F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28515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35</v>
      </c>
    </row>
    <row r="2" spans="1:7">
      <c r="A2" t="s">
        <v>23</v>
      </c>
      <c r="B2" t="s">
        <v>40</v>
      </c>
      <c r="C2" s="3"/>
      <c r="D2" s="3"/>
    </row>
    <row r="3" spans="1:7" ht="13.5" thickBot="1"/>
    <row r="4" spans="1:7" ht="14.25" thickTop="1" thickBot="1">
      <c r="A4" s="5" t="s">
        <v>0</v>
      </c>
      <c r="C4" s="8" t="s">
        <v>39</v>
      </c>
      <c r="D4" s="9" t="s">
        <v>39</v>
      </c>
    </row>
    <row r="6" spans="1:7">
      <c r="A6" s="5" t="s">
        <v>1</v>
      </c>
    </row>
    <row r="7" spans="1:7">
      <c r="A7" t="s">
        <v>2</v>
      </c>
      <c r="C7">
        <v>53067.894</v>
      </c>
      <c r="D7" s="29" t="s">
        <v>38</v>
      </c>
    </row>
    <row r="8" spans="1:7">
      <c r="A8" t="s">
        <v>3</v>
      </c>
      <c r="C8">
        <v>2.7300599999999999</v>
      </c>
      <c r="D8" s="29" t="s">
        <v>38</v>
      </c>
    </row>
    <row r="9" spans="1:7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>
      <c r="A10" s="12"/>
      <c r="B10" s="12"/>
      <c r="C10" s="4" t="s">
        <v>19</v>
      </c>
      <c r="D10" s="4" t="s">
        <v>20</v>
      </c>
      <c r="E10" s="12"/>
    </row>
    <row r="11" spans="1:7">
      <c r="A11" s="12" t="s">
        <v>15</v>
      </c>
      <c r="B11" s="12"/>
      <c r="C11" s="21">
        <f ca="1">INTERCEPT(INDIRECT($G$11):G992,INDIRECT($F$11):F992)</f>
        <v>0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7">
      <c r="A12" s="12" t="s">
        <v>16</v>
      </c>
      <c r="B12" s="12"/>
      <c r="C12" s="21">
        <f ca="1">SLOPE(INDIRECT($G$11):G992,INDIRECT($F$11):F992)</f>
        <v>-1.8025316456237017E-4</v>
      </c>
      <c r="D12" s="3"/>
      <c r="E12" s="30" t="s">
        <v>43</v>
      </c>
      <c r="F12" s="31"/>
    </row>
    <row r="13" spans="1:7">
      <c r="A13" s="12" t="s">
        <v>18</v>
      </c>
      <c r="B13" s="12"/>
      <c r="C13" s="3" t="s">
        <v>13</v>
      </c>
      <c r="D13" s="3"/>
      <c r="E13" s="32" t="s">
        <v>44</v>
      </c>
      <c r="F13" s="33">
        <v>1</v>
      </c>
    </row>
    <row r="14" spans="1:7">
      <c r="A14" s="12"/>
      <c r="B14" s="12"/>
      <c r="C14" s="12"/>
      <c r="D14" s="12"/>
      <c r="E14" s="32" t="s">
        <v>31</v>
      </c>
      <c r="F14" s="34">
        <f ca="1">NOW()+15018.5+$C$9/24</f>
        <v>60514.76543368055</v>
      </c>
    </row>
    <row r="15" spans="1:7">
      <c r="A15" s="14" t="s">
        <v>17</v>
      </c>
      <c r="B15" s="12"/>
      <c r="C15" s="15">
        <f ca="1">(C7+C11)+(C8+C12)*INT(MAX(F21:F3533))</f>
        <v>53930.536</v>
      </c>
      <c r="D15" s="16" t="s">
        <v>31</v>
      </c>
      <c r="E15" s="32" t="s">
        <v>45</v>
      </c>
      <c r="F15" s="34">
        <f ca="1">ROUND(2*($F$14-$C$7)/$C$8,0)/2+$F$13</f>
        <v>2728.5</v>
      </c>
    </row>
    <row r="16" spans="1:7">
      <c r="A16" s="17" t="s">
        <v>4</v>
      </c>
      <c r="B16" s="12"/>
      <c r="C16" s="18">
        <f ca="1">+C8+C12</f>
        <v>2.7298797468354374</v>
      </c>
      <c r="D16" s="16" t="s">
        <v>32</v>
      </c>
      <c r="E16" s="32" t="s">
        <v>32</v>
      </c>
      <c r="F16" s="34">
        <f ca="1">ROUND(2*($F$14-$C$15)/$C$16,0)/2+$F$13</f>
        <v>2413</v>
      </c>
    </row>
    <row r="17" spans="1:17" ht="13.5" thickBot="1">
      <c r="A17" s="16" t="s">
        <v>28</v>
      </c>
      <c r="B17" s="12"/>
      <c r="C17" s="12">
        <f>COUNT(C21:C2191)</f>
        <v>2</v>
      </c>
      <c r="D17" s="16" t="s">
        <v>33</v>
      </c>
      <c r="E17" s="35" t="s">
        <v>46</v>
      </c>
      <c r="F17" s="36">
        <f ca="1">+$C$15+$C$16*$F$16-15018.5-$C$9/24</f>
        <v>45499.631662447246</v>
      </c>
    </row>
    <row r="18" spans="1:17" ht="14.25" thickTop="1" thickBot="1">
      <c r="A18" s="17" t="s">
        <v>5</v>
      </c>
      <c r="B18" s="12"/>
      <c r="C18" s="19">
        <f ca="1">+C15</f>
        <v>53930.536</v>
      </c>
      <c r="D18" s="20">
        <f ca="1">+C16</f>
        <v>2.7298797468354374</v>
      </c>
      <c r="E18" s="38" t="s">
        <v>47</v>
      </c>
      <c r="F18" s="37">
        <f ca="1">+($C$15+$C$16*$F$16)-($C$16/2)-15018.5-$C$9/24</f>
        <v>45498.266722573826</v>
      </c>
    </row>
    <row r="19" spans="1:17" ht="13.5" thickTop="1">
      <c r="A19" s="24" t="s">
        <v>34</v>
      </c>
      <c r="E19" s="25">
        <v>21</v>
      </c>
    </row>
    <row r="20" spans="1:17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41</v>
      </c>
      <c r="J20" s="7" t="s">
        <v>42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</row>
    <row r="21" spans="1:17">
      <c r="A21" t="s">
        <v>38</v>
      </c>
      <c r="C21" s="10">
        <v>53067.894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38049.394</v>
      </c>
    </row>
    <row r="22" spans="1:17">
      <c r="A22" s="26" t="s">
        <v>36</v>
      </c>
      <c r="B22" s="27" t="s">
        <v>37</v>
      </c>
      <c r="C22" s="28">
        <v>53930.536</v>
      </c>
      <c r="D22" s="28">
        <v>4.0000000000000001E-3</v>
      </c>
      <c r="E22">
        <f>+(C22-C$7)/C$8</f>
        <v>315.97913598968518</v>
      </c>
      <c r="F22">
        <f>ROUND(2*E22,0)/2</f>
        <v>316</v>
      </c>
      <c r="G22">
        <f>+C22-(C$7+F22*C$8)</f>
        <v>-5.6960000001708977E-2</v>
      </c>
      <c r="I22">
        <f>+G22</f>
        <v>-5.6960000001708977E-2</v>
      </c>
      <c r="O22">
        <f ca="1">+C$11+C$12*$F22</f>
        <v>-5.6960000001708977E-2</v>
      </c>
      <c r="Q22" s="2">
        <f>+C22-15018.5</f>
        <v>38912.036</v>
      </c>
    </row>
    <row r="23" spans="1:17">
      <c r="C23" s="10"/>
      <c r="D23" s="10"/>
      <c r="Q23" s="2"/>
    </row>
    <row r="24" spans="1:17">
      <c r="C24" s="10"/>
      <c r="D24" s="10"/>
      <c r="Q24" s="2"/>
    </row>
    <row r="25" spans="1:17">
      <c r="C25" s="10"/>
      <c r="D25" s="10"/>
      <c r="Q25" s="2"/>
    </row>
    <row r="26" spans="1:17">
      <c r="C26" s="10"/>
      <c r="D26" s="10"/>
      <c r="Q26" s="2"/>
    </row>
    <row r="27" spans="1:17">
      <c r="C27" s="10"/>
      <c r="D27" s="10"/>
      <c r="Q27" s="2"/>
    </row>
    <row r="28" spans="1:17">
      <c r="C28" s="10"/>
      <c r="D28" s="10"/>
      <c r="Q28" s="2"/>
    </row>
    <row r="29" spans="1:17">
      <c r="C29" s="10"/>
      <c r="D29" s="10"/>
      <c r="Q29" s="2"/>
    </row>
    <row r="30" spans="1:17">
      <c r="C30" s="10"/>
      <c r="D30" s="10"/>
      <c r="Q30" s="2"/>
    </row>
    <row r="31" spans="1:17">
      <c r="C31" s="10"/>
      <c r="D31" s="10"/>
      <c r="Q31" s="2"/>
    </row>
    <row r="32" spans="1:17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2024-07-23T06:22:13Z</dcterms:modified>
</cp:coreProperties>
</file>