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D6D12D-2C28-4033-B87F-D296AB69A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0" i="1"/>
  <c r="F40" i="1" s="1"/>
  <c r="G40" i="1" s="1"/>
  <c r="J40" i="1" s="1"/>
  <c r="Q40" i="1"/>
  <c r="F14" i="1"/>
  <c r="D9" i="1"/>
  <c r="C9" i="1"/>
  <c r="E39" i="1"/>
  <c r="F39" i="1" s="1"/>
  <c r="G39" i="1" s="1"/>
  <c r="I39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Q44" i="1"/>
  <c r="Q43" i="1"/>
  <c r="E22" i="1"/>
  <c r="F22" i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21" i="1"/>
  <c r="F21" i="1" s="1"/>
  <c r="G21" i="1" s="1"/>
  <c r="H21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2" i="1"/>
  <c r="C17" i="1"/>
  <c r="Q21" i="1"/>
  <c r="C12" i="1"/>
  <c r="C11" i="1"/>
  <c r="O40" i="1" l="1"/>
  <c r="O41" i="1"/>
  <c r="F15" i="1"/>
  <c r="C16" i="1"/>
  <c r="D18" i="1" s="1"/>
  <c r="O23" i="1"/>
  <c r="O42" i="1"/>
  <c r="O39" i="1"/>
  <c r="O36" i="1"/>
  <c r="O33" i="1"/>
  <c r="O21" i="1"/>
  <c r="O24" i="1"/>
  <c r="O29" i="1"/>
  <c r="O28" i="1"/>
  <c r="O30" i="1"/>
  <c r="O31" i="1"/>
  <c r="O26" i="1"/>
  <c r="O32" i="1"/>
  <c r="O35" i="1"/>
  <c r="O22" i="1"/>
  <c r="O44" i="1"/>
  <c r="C15" i="1"/>
  <c r="O38" i="1"/>
  <c r="O34" i="1"/>
  <c r="O25" i="1"/>
  <c r="O43" i="1"/>
  <c r="O27" i="1"/>
  <c r="O3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<sst xmlns="http://schemas.openxmlformats.org/spreadsheetml/2006/main" count="77" uniqueCount="55">
  <si>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</si>
  <si>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</si>
  <si>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</si>
  <si>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</si>
  <si>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</si>
  <si>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</si>
  <si>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</si>
  <si>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</si>
  <si>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</si>
  <si>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</si>
  <si>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</si>
  <si>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</si>
  <si>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</si>
  <si>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</si>
  <si>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</si>
  <si>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</si>
  <si>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</si>
  <si>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</si>
  <si>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</si>
  <si>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</si>
  <si>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</si>
  <si>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</si>
  <si>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</si>
  <si>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</si>
  <si>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</si>
  <si>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</si>
  <si>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</si>
  <si>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</si>
  <si>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</si>
  <si>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</si>
  <si>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</si>
  <si>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</si>
  <si>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</si>
  <si>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</si>
  <si>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</si>
  <si>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</si>
  <si>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</si>
  <si>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</si>
  <si>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EW/KW</t>
  </si>
  <si>
    <t>Kreiner</t>
  </si>
  <si>
    <t>J.M. Kreiner, 2004, Acta Astronomica, vol. 54, pp 207-210.</t>
  </si>
  <si>
    <t>I</t>
  </si>
  <si>
    <t>Paschke Anton</t>
  </si>
  <si>
    <t>Dvorak S W</t>
  </si>
  <si>
    <t>Gessner Hertha</t>
  </si>
  <si>
    <t>pg</t>
  </si>
  <si>
    <t>vis</t>
  </si>
  <si>
    <t>CCD</t>
  </si>
  <si>
    <t>OEJV 0179</t>
  </si>
  <si>
    <t>V0653 Ara</t>
  </si>
  <si>
    <t xml:space="preserve">Mag </t>
  </si>
  <si>
    <t>Next ToM-P</t>
  </si>
  <si>
    <t>Next ToM-S</t>
  </si>
  <si>
    <t>VSX</t>
  </si>
  <si>
    <t>12.5-13.20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</si>
</sst>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7" fillId="0" borderId="0"/>
    <xf numFmtId="0" fontId="5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/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18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5" fillId="0" borderId="0" xfId="0" applyFont="1" applyAlignment="1"/>
    <xf numFmtId="0" fontId="0" fillId="0" borderId="0" xfId="0" applyBorder="1">
      <alignment vertical="top"/>
    </xf>
    <xf numFmtId="0" fontId="0" fillId="0" borderId="1" xfId="0" applyBorder="1" applyAlignment="1"/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Ara - O-C Diagr.</a:t>
            </a:r>
          </a:p>
        </c:rich>
      </c:tx>
      <c:layout>
        <c:manualLayout>
          <c:xMode val="edge"/>
          <c:yMode val="edge"/>
          <c:x val="0.39197994987468671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-0.23069299999042414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9C-4A0C-A4B5-7BD60ADCBA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-0.25291499999730149</c:v>
                </c:pt>
                <c:pt idx="2">
                  <c:v>-0.2587639999910607</c:v>
                </c:pt>
                <c:pt idx="3">
                  <c:v>-0.36583499999687774</c:v>
                </c:pt>
                <c:pt idx="4">
                  <c:v>-0.26407299999846146</c:v>
                </c:pt>
                <c:pt idx="5">
                  <c:v>-0.24592199999460718</c:v>
                </c:pt>
                <c:pt idx="6">
                  <c:v>-0.25190599999041297</c:v>
                </c:pt>
                <c:pt idx="7">
                  <c:v>-0.24130000000150176</c:v>
                </c:pt>
                <c:pt idx="8">
                  <c:v>-0.26252899999235524</c:v>
                </c:pt>
                <c:pt idx="9">
                  <c:v>-0.22767099999327911</c:v>
                </c:pt>
                <c:pt idx="10">
                  <c:v>-0.2480439999999362</c:v>
                </c:pt>
                <c:pt idx="11">
                  <c:v>-0.24028199999884237</c:v>
                </c:pt>
                <c:pt idx="12">
                  <c:v>-0.22751999999309191</c:v>
                </c:pt>
                <c:pt idx="13">
                  <c:v>-0.2498929999928805</c:v>
                </c:pt>
                <c:pt idx="14">
                  <c:v>-0.24797799999942072</c:v>
                </c:pt>
                <c:pt idx="15">
                  <c:v>-0.26303999999799998</c:v>
                </c:pt>
                <c:pt idx="16">
                  <c:v>-0.24727800000255229</c:v>
                </c:pt>
                <c:pt idx="17">
                  <c:v>-0.23496699999668635</c:v>
                </c:pt>
                <c:pt idx="18">
                  <c:v>-3.9626999998290557E-2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9C-4A0C-A4B5-7BD60ADCBA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9C-4A0C-A4B5-7BD60ADCBA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0">
                  <c:v>3.3889999998791609E-2</c:v>
                </c:pt>
                <c:pt idx="21">
                  <c:v>-1.9228999997721985E-2</c:v>
                </c:pt>
                <c:pt idx="22">
                  <c:v>-2.0156999991741031E-2</c:v>
                </c:pt>
                <c:pt idx="23">
                  <c:v>-1.9073999996180646E-2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9C-4A0C-A4B5-7BD60ADCBA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9C-4A0C-A4B5-7BD60ADCBA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9C-4A0C-A4B5-7BD60ADCBA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2">
                    <c:v>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9C-4A0C-A4B5-7BD60ADCBA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2.7469610088700681E-2</c:v>
                </c:pt>
                <c:pt idx="1">
                  <c:v>2.7464925756471522E-2</c:v>
                </c:pt>
                <c:pt idx="2">
                  <c:v>2.7460576019401588E-2</c:v>
                </c:pt>
                <c:pt idx="3">
                  <c:v>2.7451541950102503E-2</c:v>
                </c:pt>
                <c:pt idx="4">
                  <c:v>2.7449534379147152E-2</c:v>
                </c:pt>
                <c:pt idx="5">
                  <c:v>2.7445184642077219E-2</c:v>
                </c:pt>
                <c:pt idx="6">
                  <c:v>2.7442507880803418E-2</c:v>
                </c:pt>
                <c:pt idx="7">
                  <c:v>2.7382949942461283E-2</c:v>
                </c:pt>
                <c:pt idx="8">
                  <c:v>2.7358524495837821E-2</c:v>
                </c:pt>
                <c:pt idx="9">
                  <c:v>2.734045635723965E-2</c:v>
                </c:pt>
                <c:pt idx="10">
                  <c:v>2.7340121762080425E-2</c:v>
                </c:pt>
                <c:pt idx="11">
                  <c:v>2.7338114191125067E-2</c:v>
                </c:pt>
                <c:pt idx="12">
                  <c:v>2.7336106620169717E-2</c:v>
                </c:pt>
                <c:pt idx="13">
                  <c:v>2.7335772025010491E-2</c:v>
                </c:pt>
                <c:pt idx="14">
                  <c:v>2.72872557269228E-2</c:v>
                </c:pt>
                <c:pt idx="15">
                  <c:v>2.7255803781955603E-2</c:v>
                </c:pt>
                <c:pt idx="16">
                  <c:v>2.7253796211000252E-2</c:v>
                </c:pt>
                <c:pt idx="17">
                  <c:v>2.7222678861192288E-2</c:v>
                </c:pt>
                <c:pt idx="18">
                  <c:v>-6.3773670282288343E-3</c:v>
                </c:pt>
                <c:pt idx="19">
                  <c:v>-6.3777016233880594E-3</c:v>
                </c:pt>
                <c:pt idx="20">
                  <c:v>-7.6391253736680601E-3</c:v>
                </c:pt>
                <c:pt idx="21">
                  <c:v>-7.7405077069133757E-3</c:v>
                </c:pt>
                <c:pt idx="22">
                  <c:v>-1.7894132408769314E-2</c:v>
                </c:pt>
                <c:pt idx="23">
                  <c:v>-1.8168165844174966E-2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9C-4A0C-A4B5-7BD60ADCBA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-50579.5</c:v>
                </c:pt>
                <c:pt idx="1">
                  <c:v>-50572.5</c:v>
                </c:pt>
                <c:pt idx="2">
                  <c:v>-50566</c:v>
                </c:pt>
                <c:pt idx="3">
                  <c:v>-50552.5</c:v>
                </c:pt>
                <c:pt idx="4">
                  <c:v>-50549.5</c:v>
                </c:pt>
                <c:pt idx="5">
                  <c:v>-50543</c:v>
                </c:pt>
                <c:pt idx="6">
                  <c:v>-50539</c:v>
                </c:pt>
                <c:pt idx="7">
                  <c:v>-50450</c:v>
                </c:pt>
                <c:pt idx="8">
                  <c:v>-50413.5</c:v>
                </c:pt>
                <c:pt idx="9">
                  <c:v>-50386.5</c:v>
                </c:pt>
                <c:pt idx="10">
                  <c:v>-50386</c:v>
                </c:pt>
                <c:pt idx="11">
                  <c:v>-50383</c:v>
                </c:pt>
                <c:pt idx="12">
                  <c:v>-50380</c:v>
                </c:pt>
                <c:pt idx="13">
                  <c:v>-50379.5</c:v>
                </c:pt>
                <c:pt idx="14">
                  <c:v>-50307</c:v>
                </c:pt>
                <c:pt idx="15">
                  <c:v>-50260</c:v>
                </c:pt>
                <c:pt idx="16">
                  <c:v>-50257</c:v>
                </c:pt>
                <c:pt idx="17">
                  <c:v>-50210.5</c:v>
                </c:pt>
                <c:pt idx="18">
                  <c:v>-0.5</c:v>
                </c:pt>
                <c:pt idx="19">
                  <c:v>0</c:v>
                </c:pt>
                <c:pt idx="20">
                  <c:v>1885</c:v>
                </c:pt>
                <c:pt idx="21">
                  <c:v>2036.5</c:v>
                </c:pt>
                <c:pt idx="22">
                  <c:v>17209.5</c:v>
                </c:pt>
                <c:pt idx="23">
                  <c:v>17619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9C-4A0C-A4B5-7BD60ADC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76136"/>
        <c:axId val="1"/>
      </c:scatterChart>
      <c:valAx>
        <c:axId val="57227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7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74130865218"/>
          <c:w val="0.74586466165413534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A545465-DE55-F788-1D3E-589381CF7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  <c r="E1" s="28"/>
    </row>
    <row r="2" spans="1:6" ht="12.95" customHeight="1" x14ac:dyDescent="0.2">
      <c r="A2" t="s">
        <v>24</v>
      </c>
      <c r="B2" t="s">
        <v>38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8">
        <v>36765.622000000003</v>
      </c>
      <c r="D4" s="9">
        <v>0.30520000000000003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2</v>
      </c>
      <c r="E6" s="51" t="s">
        <v>39</v>
      </c>
    </row>
    <row r="7" spans="1:6" ht="12.95" customHeight="1" x14ac:dyDescent="0.2">
      <c r="A7" t="s">
        <v>3</v>
      </c>
      <c r="C7" s="38">
        <v>51933.131999999998</v>
      </c>
      <c r="D7" s="27" t="s">
        <v>53</v>
      </c>
      <c r="E7" s="52">
        <v>52500.072099999998</v>
      </c>
    </row>
    <row r="8" spans="1:6" ht="12.95" customHeight="1" x14ac:dyDescent="0.2">
      <c r="A8" t="s">
        <v>4</v>
      </c>
      <c r="C8" s="38">
        <v>0.30074600000000001</v>
      </c>
      <c r="D8" s="27" t="s">
        <v>53</v>
      </c>
      <c r="E8" s="53">
        <v>0.23472702000000001</v>
      </c>
    </row>
    <row r="9" spans="1:6" ht="12.95" customHeight="1" x14ac:dyDescent="0.2">
      <c r="A9" s="24" t="s">
        <v>33</v>
      </c>
      <c r="B9" s="25">
        <v>39</v>
      </c>
      <c r="C9" s="22" t="str">
        <f>"F"&amp;B9</f>
        <v>F39</v>
      </c>
      <c r="D9" s="23" t="str">
        <f>"G"&amp;B9</f>
        <v>G39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1">
        <f ca="1">INTERCEPT(INDIRECT($D$9):G990,INDIRECT($C$9):F990)</f>
        <v>-6.3777016233880594E-3</v>
      </c>
      <c r="D11" s="3"/>
      <c r="E11" s="12"/>
    </row>
    <row r="12" spans="1:6" ht="12.95" customHeight="1" x14ac:dyDescent="0.2">
      <c r="A12" s="12" t="s">
        <v>17</v>
      </c>
      <c r="B12" s="12"/>
      <c r="C12" s="21">
        <f ca="1">SLOPE(INDIRECT($D$9):G990,INDIRECT($C$9):F990)</f>
        <v>-6.6919031845092849E-7</v>
      </c>
      <c r="D12" s="3"/>
      <c r="E12" s="39" t="s">
        <v>50</v>
      </c>
      <c r="F12" s="40" t="s">
        <v>54</v>
      </c>
    </row>
    <row r="13" spans="1:6" ht="12.95" customHeight="1" x14ac:dyDescent="0.2">
      <c r="A13" s="12" t="s">
        <v>19</v>
      </c>
      <c r="B13" s="12"/>
      <c r="C13" s="3" t="s">
        <v>14</v>
      </c>
      <c r="D13" s="16"/>
      <c r="E13" s="41" t="s">
        <v>35</v>
      </c>
      <c r="F13" s="42">
        <v>1</v>
      </c>
    </row>
    <row r="14" spans="1:6" ht="12.95" customHeight="1" x14ac:dyDescent="0.2">
      <c r="A14" s="12"/>
      <c r="B14" s="12"/>
      <c r="C14" s="12"/>
      <c r="D14" s="16"/>
      <c r="E14" s="41" t="s">
        <v>31</v>
      </c>
      <c r="F14" s="43">
        <f ca="1">NOW()+15018.5+$C$5/24</f>
        <v>60514.823192361109</v>
      </c>
    </row>
    <row r="15" spans="1:6" ht="12.95" customHeight="1" x14ac:dyDescent="0.2">
      <c r="A15" s="14" t="s">
        <v>18</v>
      </c>
      <c r="B15" s="12"/>
      <c r="C15" s="15">
        <f ca="1">(C7+C11)+(C8+C12)*INT(MAX(F21:F3531))</f>
        <v>57231.957605834148</v>
      </c>
      <c r="D15" s="16"/>
      <c r="E15" s="41" t="s">
        <v>36</v>
      </c>
      <c r="F15" s="43">
        <f ca="1">ROUND(2*($F$14-$C$7)/$C$8,0)/2+$F$13</f>
        <v>28535.5</v>
      </c>
    </row>
    <row r="16" spans="1:6" ht="12.95" customHeight="1" x14ac:dyDescent="0.2">
      <c r="A16" s="17" t="s">
        <v>5</v>
      </c>
      <c r="B16" s="12"/>
      <c r="C16" s="18">
        <f ca="1">+C8+C12</f>
        <v>0.30074533080968158</v>
      </c>
      <c r="D16" s="16"/>
      <c r="E16" s="41" t="s">
        <v>32</v>
      </c>
      <c r="F16" s="43">
        <f ca="1">ROUND(2*($F$14-$C$15)/$C$16,0)/2+$F$13</f>
        <v>10917</v>
      </c>
    </row>
    <row r="17" spans="1:21" ht="12.95" customHeight="1" thickBot="1" x14ac:dyDescent="0.25">
      <c r="A17" s="16" t="s">
        <v>28</v>
      </c>
      <c r="B17" s="12"/>
      <c r="C17" s="12">
        <f>COUNT(C21:C2189)</f>
        <v>24</v>
      </c>
      <c r="D17" s="16"/>
      <c r="E17" s="44" t="s">
        <v>51</v>
      </c>
      <c r="F17" s="45">
        <f ca="1">+$C$15+$C$16*$F$16-15018.5-$C$5/24</f>
        <v>45497.090215616779</v>
      </c>
    </row>
    <row r="18" spans="1:21" ht="12.95" customHeight="1" thickTop="1" thickBot="1" x14ac:dyDescent="0.25">
      <c r="A18" s="17" t="s">
        <v>6</v>
      </c>
      <c r="B18" s="12"/>
      <c r="C18" s="19">
        <f ca="1">+C15</f>
        <v>57231.957605834148</v>
      </c>
      <c r="D18" s="20">
        <f ca="1">+C16</f>
        <v>0.30074533080968158</v>
      </c>
      <c r="E18" s="47" t="s">
        <v>52</v>
      </c>
      <c r="F18" s="46">
        <f ca="1">+($C$15+$C$16*$F$16)-($C$16/2)-15018.5-$C$5/24</f>
        <v>45496.939842951375</v>
      </c>
    </row>
    <row r="19" spans="1:21" ht="12.95" customHeight="1" thickTop="1" x14ac:dyDescent="0.2"/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45</v>
      </c>
      <c r="I20" s="7" t="s">
        <v>46</v>
      </c>
      <c r="J20" s="7" t="s">
        <v>53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ht="12.95" customHeight="1" x14ac:dyDescent="0.2">
      <c r="A21" s="27" t="s">
        <v>37</v>
      </c>
      <c r="C21" s="10">
        <v>36721.319000000003</v>
      </c>
      <c r="D21" s="10" t="s">
        <v>14</v>
      </c>
      <c r="E21">
        <f>+(C21-C$7)/C$8</f>
        <v>-50580.267069221183</v>
      </c>
      <c r="F21" s="31">
        <f>ROUND(2*E21,0)/2+1</f>
        <v>-50579.5</v>
      </c>
      <c r="G21">
        <f>+C21-(C$7+F21*C$8)</f>
        <v>-0.23069299999042414</v>
      </c>
      <c r="H21">
        <f>+G21</f>
        <v>-0.23069299999042414</v>
      </c>
      <c r="O21">
        <f ca="1">+C$11+C$12*$F21</f>
        <v>2.7469610088700681E-2</v>
      </c>
      <c r="Q21" s="2">
        <f>+C21-15018.5</f>
        <v>21702.819000000003</v>
      </c>
    </row>
    <row r="22" spans="1:21" ht="12.95" customHeight="1" x14ac:dyDescent="0.2">
      <c r="A22" t="s">
        <v>44</v>
      </c>
      <c r="B22" s="30"/>
      <c r="C22" s="29">
        <v>36723.402000000002</v>
      </c>
      <c r="D22" s="29"/>
      <c r="E22">
        <f>+(C22-C$7)/C$8</f>
        <v>-50573.34095881573</v>
      </c>
      <c r="F22" s="31">
        <f>ROUND(2*E22,0)/2+1</f>
        <v>-50572.5</v>
      </c>
      <c r="G22">
        <f>+C22-(C$7+F22*C$8)</f>
        <v>-0.25291499999730149</v>
      </c>
      <c r="I22">
        <f>+G22</f>
        <v>-0.25291499999730149</v>
      </c>
      <c r="O22">
        <f ca="1">+C$11+C$12*$F22</f>
        <v>2.7464925756471522E-2</v>
      </c>
      <c r="Q22" s="2">
        <f>+C22-15018.5</f>
        <v>21704.902000000002</v>
      </c>
    </row>
    <row r="23" spans="1:21" ht="12.95" customHeight="1" x14ac:dyDescent="0.2">
      <c r="A23" t="s">
        <v>44</v>
      </c>
      <c r="B23" s="30"/>
      <c r="C23" s="29">
        <v>36725.351000000002</v>
      </c>
      <c r="D23" s="29"/>
      <c r="E23">
        <f>+(C23-C$7)/C$8</f>
        <v>-50566.860407120941</v>
      </c>
      <c r="F23" s="31">
        <f>ROUND(2*E23,0)/2+1</f>
        <v>-50566</v>
      </c>
      <c r="G23">
        <f>+C23-(C$7+F23*C$8)</f>
        <v>-0.2587639999910607</v>
      </c>
      <c r="I23">
        <f>+G23</f>
        <v>-0.2587639999910607</v>
      </c>
      <c r="O23">
        <f ca="1">+C$11+C$12*$F23</f>
        <v>2.7460576019401588E-2</v>
      </c>
      <c r="Q23" s="2">
        <f>+C23-15018.5</f>
        <v>21706.851000000002</v>
      </c>
    </row>
    <row r="24" spans="1:21" ht="12.95" customHeight="1" x14ac:dyDescent="0.2">
      <c r="A24" t="s">
        <v>44</v>
      </c>
      <c r="B24" s="30"/>
      <c r="C24" s="29">
        <v>36729.303999999996</v>
      </c>
      <c r="D24" s="29"/>
      <c r="E24">
        <f>+(C24-C$7)/C$8</f>
        <v>-50553.716425156112</v>
      </c>
      <c r="F24" s="31">
        <f>ROUND(2*E24,0)/2+1</f>
        <v>-50552.5</v>
      </c>
      <c r="G24">
        <f>+C24-(C$7+F24*C$8)</f>
        <v>-0.36583499999687774</v>
      </c>
      <c r="I24">
        <f>+G24</f>
        <v>-0.36583499999687774</v>
      </c>
      <c r="O24">
        <f ca="1">+C$11+C$12*$F24</f>
        <v>2.7451541950102503E-2</v>
      </c>
      <c r="Q24" s="2">
        <f>+C24-15018.5</f>
        <v>21710.803999999996</v>
      </c>
    </row>
    <row r="25" spans="1:21" ht="12.95" customHeight="1" x14ac:dyDescent="0.2">
      <c r="A25" t="s">
        <v>44</v>
      </c>
      <c r="B25" s="30"/>
      <c r="C25" s="29">
        <v>36730.307999999997</v>
      </c>
      <c r="D25" s="29"/>
      <c r="E25">
        <f>+(C25-C$7)/C$8</f>
        <v>-50550.378059891067</v>
      </c>
      <c r="F25" s="31">
        <f>ROUND(2*E25,0)/2+1</f>
        <v>-50549.5</v>
      </c>
      <c r="G25">
        <f>+C25-(C$7+F25*C$8)</f>
        <v>-0.26407299999846146</v>
      </c>
      <c r="I25">
        <f>+G25</f>
        <v>-0.26407299999846146</v>
      </c>
      <c r="O25">
        <f ca="1">+C$11+C$12*$F25</f>
        <v>2.7449534379147152E-2</v>
      </c>
      <c r="Q25" s="2">
        <f>+C25-15018.5</f>
        <v>21711.807999999997</v>
      </c>
    </row>
    <row r="26" spans="1:21" ht="12.95" customHeight="1" x14ac:dyDescent="0.2">
      <c r="A26" t="s">
        <v>44</v>
      </c>
      <c r="B26" s="30"/>
      <c r="C26" s="29">
        <v>36732.281000000003</v>
      </c>
      <c r="D26" s="29"/>
      <c r="E26">
        <f>+(C26-C$7)/C$8</f>
        <v>-50543.817706636146</v>
      </c>
      <c r="F26" s="31">
        <f>ROUND(2*E26,0)/2+1</f>
        <v>-50543</v>
      </c>
      <c r="G26">
        <f>+C26-(C$7+F26*C$8)</f>
        <v>-0.24592199999460718</v>
      </c>
      <c r="I26">
        <f>+G26</f>
        <v>-0.24592199999460718</v>
      </c>
      <c r="O26">
        <f ca="1">+C$11+C$12*$F26</f>
        <v>2.7445184642077219E-2</v>
      </c>
      <c r="Q26" s="2">
        <f>+C26-15018.5</f>
        <v>21713.781000000003</v>
      </c>
    </row>
    <row r="27" spans="1:21" ht="12.95" customHeight="1" x14ac:dyDescent="0.2">
      <c r="A27" t="s">
        <v>44</v>
      </c>
      <c r="B27" s="30"/>
      <c r="C27" s="29">
        <v>36733.478000000003</v>
      </c>
      <c r="D27" s="29"/>
      <c r="E27">
        <f>+(C27-C$7)/C$8</f>
        <v>-50539.837603825137</v>
      </c>
      <c r="F27" s="31">
        <f>ROUND(2*E27,0)/2+1</f>
        <v>-50539</v>
      </c>
      <c r="G27">
        <f>+C27-(C$7+F27*C$8)</f>
        <v>-0.25190599999041297</v>
      </c>
      <c r="I27">
        <f>+G27</f>
        <v>-0.25190599999041297</v>
      </c>
      <c r="O27">
        <f ca="1">+C$11+C$12*$F27</f>
        <v>2.7442507880803418E-2</v>
      </c>
      <c r="Q27" s="2">
        <f>+C27-15018.5</f>
        <v>21714.978000000003</v>
      </c>
    </row>
    <row r="28" spans="1:21" ht="12.95" customHeight="1" x14ac:dyDescent="0.2">
      <c r="A28" t="s">
        <v>44</v>
      </c>
      <c r="B28" s="30"/>
      <c r="C28" s="29">
        <v>36760.254999999997</v>
      </c>
      <c r="D28" s="29"/>
      <c r="E28">
        <f>+(C28-C$7)/C$8</f>
        <v>-50450.802338185713</v>
      </c>
      <c r="F28" s="31">
        <f>ROUND(2*E28,0)/2+1</f>
        <v>-50450</v>
      </c>
      <c r="G28">
        <f>+C28-(C$7+F28*C$8)</f>
        <v>-0.24130000000150176</v>
      </c>
      <c r="I28">
        <f>+G28</f>
        <v>-0.24130000000150176</v>
      </c>
      <c r="O28">
        <f ca="1">+C$11+C$12*$F28</f>
        <v>2.7382949942461283E-2</v>
      </c>
      <c r="Q28" s="2">
        <f>+C28-15018.5</f>
        <v>21741.754999999997</v>
      </c>
    </row>
    <row r="29" spans="1:21" ht="12.95" customHeight="1" x14ac:dyDescent="0.2">
      <c r="A29" t="s">
        <v>44</v>
      </c>
      <c r="B29" s="30"/>
      <c r="C29" s="29">
        <v>36771.211000000003</v>
      </c>
      <c r="D29" s="29"/>
      <c r="E29">
        <f>+(C29-C$7)/C$8</f>
        <v>-50414.372925990683</v>
      </c>
      <c r="F29" s="31">
        <f>ROUND(2*E29,0)/2+1</f>
        <v>-50413.5</v>
      </c>
      <c r="G29">
        <f>+C29-(C$7+F29*C$8)</f>
        <v>-0.26252899999235524</v>
      </c>
      <c r="I29">
        <f>+G29</f>
        <v>-0.26252899999235524</v>
      </c>
      <c r="O29">
        <f ca="1">+C$11+C$12*$F29</f>
        <v>2.7358524495837821E-2</v>
      </c>
      <c r="Q29" s="2">
        <f>+C29-15018.5</f>
        <v>21752.711000000003</v>
      </c>
    </row>
    <row r="30" spans="1:21" ht="12.95" customHeight="1" x14ac:dyDescent="0.2">
      <c r="A30" t="s">
        <v>44</v>
      </c>
      <c r="B30" s="30"/>
      <c r="C30" s="29">
        <v>36779.366000000002</v>
      </c>
      <c r="D30" s="29"/>
      <c r="E30">
        <f>+(C30-C$7)/C$8</f>
        <v>-50387.257020874742</v>
      </c>
      <c r="F30" s="31">
        <f>ROUND(2*E30,0)/2+1</f>
        <v>-50386.5</v>
      </c>
      <c r="G30">
        <f>+C30-(C$7+F30*C$8)</f>
        <v>-0.22767099999327911</v>
      </c>
      <c r="I30">
        <f>+G30</f>
        <v>-0.22767099999327911</v>
      </c>
      <c r="O30">
        <f ca="1">+C$11+C$12*$F30</f>
        <v>2.734045635723965E-2</v>
      </c>
      <c r="Q30" s="2">
        <f>+C30-15018.5</f>
        <v>21760.866000000002</v>
      </c>
    </row>
    <row r="31" spans="1:21" ht="12.95" customHeight="1" x14ac:dyDescent="0.2">
      <c r="A31" t="s">
        <v>44</v>
      </c>
      <c r="B31" s="30"/>
      <c r="C31" s="29">
        <v>36779.495999999999</v>
      </c>
      <c r="D31" s="29"/>
      <c r="E31">
        <f>+(C31-C$7)/C$8</f>
        <v>-50386.824762424098</v>
      </c>
      <c r="F31" s="31">
        <f>ROUND(2*E31,0)/2+1</f>
        <v>-50386</v>
      </c>
      <c r="G31">
        <f>+C31-(C$7+F31*C$8)</f>
        <v>-0.2480439999999362</v>
      </c>
      <c r="I31">
        <f>+G31</f>
        <v>-0.2480439999999362</v>
      </c>
      <c r="O31">
        <f ca="1">+C$11+C$12*$F31</f>
        <v>2.7340121762080425E-2</v>
      </c>
      <c r="Q31" s="2">
        <f>+C31-15018.5</f>
        <v>21760.995999999999</v>
      </c>
    </row>
    <row r="32" spans="1:21" ht="12.95" customHeight="1" x14ac:dyDescent="0.2">
      <c r="A32" t="s">
        <v>44</v>
      </c>
      <c r="B32" s="30"/>
      <c r="C32" s="10">
        <v>36780.406000000003</v>
      </c>
      <c r="D32" s="10"/>
      <c r="E32">
        <f>+(C32-C$7)/C$8</f>
        <v>-50383.798953269521</v>
      </c>
      <c r="F32" s="31">
        <f>ROUND(2*E32,0)/2+1</f>
        <v>-50383</v>
      </c>
      <c r="G32">
        <f>+C32-(C$7+F32*C$8)</f>
        <v>-0.24028199999884237</v>
      </c>
      <c r="I32">
        <f>+G32</f>
        <v>-0.24028199999884237</v>
      </c>
      <c r="O32">
        <f ca="1">+C$11+C$12*$F32</f>
        <v>2.7338114191125067E-2</v>
      </c>
      <c r="Q32" s="2">
        <f>+C32-15018.5</f>
        <v>21761.906000000003</v>
      </c>
    </row>
    <row r="33" spans="1:23" ht="12.95" customHeight="1" x14ac:dyDescent="0.2">
      <c r="A33" t="s">
        <v>44</v>
      </c>
      <c r="B33" s="30"/>
      <c r="C33" s="10">
        <v>36781.321000000004</v>
      </c>
      <c r="D33" s="10"/>
      <c r="E33">
        <f>+(C33-C$7)/C$8</f>
        <v>-50380.756518789924</v>
      </c>
      <c r="F33" s="31">
        <f>ROUND(2*E33,0)/2+1</f>
        <v>-50380</v>
      </c>
      <c r="G33">
        <f>+C33-(C$7+F33*C$8)</f>
        <v>-0.22751999999309191</v>
      </c>
      <c r="I33">
        <f>+G33</f>
        <v>-0.22751999999309191</v>
      </c>
      <c r="O33">
        <f ca="1">+C$11+C$12*$F33</f>
        <v>2.7336106620169717E-2</v>
      </c>
      <c r="Q33" s="2">
        <f>+C33-15018.5</f>
        <v>21762.821000000004</v>
      </c>
    </row>
    <row r="34" spans="1:23" ht="12.95" customHeight="1" x14ac:dyDescent="0.2">
      <c r="A34" t="s">
        <v>44</v>
      </c>
      <c r="C34" s="10">
        <v>36781.449000000001</v>
      </c>
      <c r="D34" s="10"/>
      <c r="E34">
        <f>+(C34-C$7)/C$8</f>
        <v>-50380.330910469289</v>
      </c>
      <c r="F34" s="31">
        <f>ROUND(2*E34,0)/2+1</f>
        <v>-50379.5</v>
      </c>
      <c r="G34">
        <f>+C34-(C$7+F34*C$8)</f>
        <v>-0.2498929999928805</v>
      </c>
      <c r="I34">
        <f>+G34</f>
        <v>-0.2498929999928805</v>
      </c>
      <c r="O34">
        <f ca="1">+C$11+C$12*$F34</f>
        <v>2.7335772025010491E-2</v>
      </c>
      <c r="Q34" s="2">
        <f>+C34-15018.5</f>
        <v>21762.949000000001</v>
      </c>
    </row>
    <row r="35" spans="1:23" ht="12.95" customHeight="1" x14ac:dyDescent="0.2">
      <c r="A35" t="s">
        <v>44</v>
      </c>
      <c r="C35" s="10">
        <v>36803.254999999997</v>
      </c>
      <c r="D35" s="10"/>
      <c r="E35">
        <f>+(C35-C$7)/C$8</f>
        <v>-50307.824542969815</v>
      </c>
      <c r="F35" s="31">
        <f>ROUND(2*E35,0)/2+1</f>
        <v>-50307</v>
      </c>
      <c r="G35">
        <f>+C35-(C$7+F35*C$8)</f>
        <v>-0.24797799999942072</v>
      </c>
      <c r="I35">
        <f>+G35</f>
        <v>-0.24797799999942072</v>
      </c>
      <c r="O35">
        <f ca="1">+C$11+C$12*$F35</f>
        <v>2.72872557269228E-2</v>
      </c>
      <c r="Q35" s="2">
        <f>+C35-15018.5</f>
        <v>21784.754999999997</v>
      </c>
    </row>
    <row r="36" spans="1:23" ht="12.95" customHeight="1" x14ac:dyDescent="0.2">
      <c r="A36" t="s">
        <v>44</v>
      </c>
      <c r="C36" s="10">
        <v>36817.375</v>
      </c>
      <c r="D36" s="10"/>
      <c r="E36">
        <f>+(C36-C$7)/C$8</f>
        <v>-50260.874625098913</v>
      </c>
      <c r="F36" s="31">
        <f>ROUND(2*E36,0)/2+1</f>
        <v>-50260</v>
      </c>
      <c r="G36">
        <f>+C36-(C$7+F36*C$8)</f>
        <v>-0.26303999999799998</v>
      </c>
      <c r="I36">
        <f>+G36</f>
        <v>-0.26303999999799998</v>
      </c>
      <c r="O36">
        <f ca="1">+C$11+C$12*$F36</f>
        <v>2.7255803781955603E-2</v>
      </c>
      <c r="Q36" s="2">
        <f>+C36-15018.5</f>
        <v>21798.875</v>
      </c>
    </row>
    <row r="37" spans="1:23" ht="12.95" customHeight="1" x14ac:dyDescent="0.2">
      <c r="A37" t="s">
        <v>44</v>
      </c>
      <c r="C37" s="10">
        <v>36818.292999999998</v>
      </c>
      <c r="D37" s="10"/>
      <c r="E37">
        <f>+(C37-C$7)/C$8</f>
        <v>-50257.822215424312</v>
      </c>
      <c r="F37" s="31">
        <f>ROUND(2*E37,0)/2+1</f>
        <v>-50257</v>
      </c>
      <c r="G37">
        <f>+C37-(C$7+F37*C$8)</f>
        <v>-0.24727800000255229</v>
      </c>
      <c r="I37">
        <f>+G37</f>
        <v>-0.24727800000255229</v>
      </c>
      <c r="O37">
        <f ca="1">+C$11+C$12*$F37</f>
        <v>2.7253796211000252E-2</v>
      </c>
      <c r="Q37" s="2">
        <f>+C37-15018.5</f>
        <v>21799.792999999998</v>
      </c>
    </row>
    <row r="38" spans="1:23" ht="12.95" customHeight="1" x14ac:dyDescent="0.2">
      <c r="A38" t="s">
        <v>44</v>
      </c>
      <c r="C38" s="10">
        <v>36832.29</v>
      </c>
      <c r="D38" s="10"/>
      <c r="E38">
        <f>+(C38-C$7)/C$8</f>
        <v>-50211.281280549025</v>
      </c>
      <c r="F38" s="31">
        <f>ROUND(2*E38,0)/2+1</f>
        <v>-50210.5</v>
      </c>
      <c r="G38">
        <f>+C38-(C$7+F38*C$8)</f>
        <v>-0.23496699999668635</v>
      </c>
      <c r="I38">
        <f>+G38</f>
        <v>-0.23496699999668635</v>
      </c>
      <c r="O38">
        <f ca="1">+C$11+C$12*$F38</f>
        <v>2.7222678861192288E-2</v>
      </c>
      <c r="Q38" s="2">
        <f>+C38-15018.5</f>
        <v>21813.79</v>
      </c>
    </row>
    <row r="39" spans="1:23" ht="12.95" customHeight="1" x14ac:dyDescent="0.2">
      <c r="A39" t="s">
        <v>42</v>
      </c>
      <c r="C39" s="10">
        <v>51932.942000000003</v>
      </c>
      <c r="D39" s="10"/>
      <c r="E39">
        <f>+(C39-C$7)/C$8</f>
        <v>-0.63176235093750988</v>
      </c>
      <c r="F39">
        <f>ROUND(2*E39,0)/2</f>
        <v>-0.5</v>
      </c>
      <c r="G39">
        <f>+C39-(C$7+F39*C$8)</f>
        <v>-3.9626999998290557E-2</v>
      </c>
      <c r="I39">
        <f>+G39</f>
        <v>-3.9626999998290557E-2</v>
      </c>
      <c r="O39">
        <f ca="1">+C$11+C$12*$F39</f>
        <v>-6.3773670282288343E-3</v>
      </c>
      <c r="Q39" s="2">
        <f>+C39-15018.5</f>
        <v>36914.442000000003</v>
      </c>
    </row>
    <row r="40" spans="1:23" ht="12.95" customHeight="1" x14ac:dyDescent="0.2">
      <c r="A40" s="48" t="s">
        <v>53</v>
      </c>
      <c r="C40" s="10">
        <v>51933.131999999998</v>
      </c>
      <c r="D40" s="10"/>
      <c r="E40">
        <f>+(C40-C$7)/C$8</f>
        <v>0</v>
      </c>
      <c r="F40">
        <f>ROUND(2*E40,0)/2</f>
        <v>0</v>
      </c>
      <c r="G40">
        <f>+C40-(C$7+F40*C$8)</f>
        <v>0</v>
      </c>
      <c r="J40">
        <f>+G40</f>
        <v>0</v>
      </c>
      <c r="O40">
        <f ca="1">+C$11+C$12*$F40</f>
        <v>-6.3777016233880594E-3</v>
      </c>
      <c r="Q40" s="2">
        <f>+C40-15018.5</f>
        <v>36914.631999999998</v>
      </c>
    </row>
    <row r="41" spans="1:23" ht="12.95" customHeight="1" x14ac:dyDescent="0.2">
      <c r="A41" s="48" t="s">
        <v>39</v>
      </c>
      <c r="C41" s="10">
        <v>52500.072099999998</v>
      </c>
      <c r="D41" s="10"/>
      <c r="E41">
        <f>+(C41-C$7)/C$8</f>
        <v>1885.1126864530195</v>
      </c>
      <c r="F41">
        <f>ROUND(2*E41,0)/2</f>
        <v>1885</v>
      </c>
      <c r="G41">
        <f>+C41-(C$7+F41*C$8)</f>
        <v>3.3889999998791609E-2</v>
      </c>
      <c r="K41">
        <f>+G41</f>
        <v>3.3889999998791609E-2</v>
      </c>
      <c r="O41">
        <f ca="1">+C$11+C$12*$F41</f>
        <v>-7.6391253736680601E-3</v>
      </c>
      <c r="Q41" s="2">
        <f>+C41-15018.5</f>
        <v>37481.572099999998</v>
      </c>
      <c r="W41" s="49" t="s">
        <v>40</v>
      </c>
    </row>
    <row r="42" spans="1:23" ht="12.95" customHeight="1" x14ac:dyDescent="0.2">
      <c r="A42" t="s">
        <v>43</v>
      </c>
      <c r="C42" s="10">
        <v>52545.582000000002</v>
      </c>
      <c r="D42" s="10"/>
      <c r="E42">
        <f>+(C42-C$7)/C$8</f>
        <v>2036.4360623250329</v>
      </c>
      <c r="F42">
        <f>ROUND(2*E42,0)/2</f>
        <v>2036.5</v>
      </c>
      <c r="G42">
        <f>+C42-(C$7+F42*C$8)</f>
        <v>-1.9228999997721985E-2</v>
      </c>
      <c r="K42">
        <f>+G42</f>
        <v>-1.9228999997721985E-2</v>
      </c>
      <c r="O42">
        <f ca="1">+C$11+C$12*$F42</f>
        <v>-7.7405077069133757E-3</v>
      </c>
      <c r="Q42" s="2">
        <f>+C42-15018.5</f>
        <v>37527.082000000002</v>
      </c>
    </row>
    <row r="43" spans="1:23" ht="12.95" customHeight="1" x14ac:dyDescent="0.2">
      <c r="A43" s="32" t="s">
        <v>48</v>
      </c>
      <c r="B43" s="33" t="s">
        <v>41</v>
      </c>
      <c r="C43" s="34">
        <v>57108.800130000003</v>
      </c>
      <c r="D43" s="34">
        <v>1E-4</v>
      </c>
      <c r="E43">
        <f>+(C43-C$7)/C$8</f>
        <v>17209.43297666471</v>
      </c>
      <c r="F43">
        <f>ROUND(2*E43,0)/2</f>
        <v>17209.5</v>
      </c>
      <c r="G43">
        <f>+C43-(C$7+F43*C$8)</f>
        <v>-2.0156999991741031E-2</v>
      </c>
      <c r="K43">
        <f>+G43</f>
        <v>-2.0156999991741031E-2</v>
      </c>
      <c r="O43">
        <f ca="1">+C$11+C$12*$F43</f>
        <v>-1.7894132408769314E-2</v>
      </c>
      <c r="Q43" s="2">
        <f>+C43-15018.5</f>
        <v>42090.300130000003</v>
      </c>
      <c r="W43" s="50"/>
    </row>
    <row r="44" spans="1:23" ht="12.95" customHeight="1" x14ac:dyDescent="0.2">
      <c r="A44" s="35" t="s">
        <v>0</v>
      </c>
      <c r="B44" s="36" t="s">
        <v>41</v>
      </c>
      <c r="C44" s="37">
        <v>57231.956700000002</v>
      </c>
      <c r="D44" s="37">
        <v>2.0000000000000001E-4</v>
      </c>
      <c r="E44">
        <f>+(C44-C$7)/C$8</f>
        <v>17618.936577710108</v>
      </c>
      <c r="F44">
        <f>ROUND(2*E44,0)/2</f>
        <v>17619</v>
      </c>
      <c r="G44">
        <f>+C44-(C$7+F44*C$8)</f>
        <v>-1.9073999996180646E-2</v>
      </c>
      <c r="K44">
        <f>+G44</f>
        <v>-1.9073999996180646E-2</v>
      </c>
      <c r="O44">
        <f ca="1">+C$11+C$12*$F44</f>
        <v>-1.8168165844174966E-2</v>
      </c>
      <c r="Q44" s="2">
        <f>+C44-15018.5</f>
        <v>42213.456700000002</v>
      </c>
    </row>
    <row r="45" spans="1:23" ht="12.95" customHeight="1" x14ac:dyDescent="0.2">
      <c r="C45" s="10"/>
      <c r="D45" s="10"/>
    </row>
    <row r="46" spans="1:23" ht="12.95" customHeight="1" x14ac:dyDescent="0.2">
      <c r="C46" s="10"/>
      <c r="D46" s="10"/>
    </row>
    <row r="47" spans="1:23" ht="12.95" customHeight="1" x14ac:dyDescent="0.2">
      <c r="C47" s="10"/>
      <c r="D47" s="10"/>
    </row>
    <row r="48" spans="1:23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ht="12.95" customHeight="1" x14ac:dyDescent="0.2">
      <c r="C396" s="10"/>
      <c r="D396" s="10"/>
    </row>
    <row r="397" spans="3:4" ht="12.95" customHeight="1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Z47">
    <sortCondition ref="C21:C47"/>
  </sortState>
  <phoneticPr fontId="7" type="noConversion"/>
  <hyperlinks>
    <hyperlink ref="H3307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://vsolj.cetus-net.org/bulletin.html" xr:uid="{00000000-0004-0000-0000-000002000000}"/>
    <hyperlink ref="AP2246" r:id="rId4" display="http://cdsbib.u-strasbg.fr/cgi-bin/cdsbib?1990RMxAA..21..381G" xr:uid="{00000000-0004-0000-0000-000003000000}"/>
    <hyperlink ref="AP2249" r:id="rId5" display="http://cdsbib.u-strasbg.fr/cgi-bin/cdsbib?1990RMxAA..21..381G" xr:uid="{00000000-0004-0000-0000-000004000000}"/>
    <hyperlink ref="AP2247" r:id="rId6" display="http://cdsbib.u-strasbg.fr/cgi-bin/cdsbib?1990RMxAA..21..381G" xr:uid="{00000000-0004-0000-0000-000005000000}"/>
    <hyperlink ref="AP2225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2359" r:id="rId9" display="http://cdsbib.u-strasbg.fr/cgi-bin/cdsbib?1990RMxAA..21..381G" xr:uid="{00000000-0004-0000-0000-000008000000}"/>
    <hyperlink ref="AQ628" r:id="rId10" display="http://cdsbib.u-strasbg.fr/cgi-bin/cdsbib?1990RMxAA..21..381G" xr:uid="{00000000-0004-0000-0000-000009000000}"/>
    <hyperlink ref="AQ2360" r:id="rId11" display="http://cdsbib.u-strasbg.fr/cgi-bin/cdsbib?1990RMxAA..21..381G" xr:uid="{00000000-0004-0000-0000-00000A000000}"/>
    <hyperlink ref="H64753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</dc:creator>
  <cp:lastModifiedBy>R &amp; B</cp:lastModifiedBy>
  <cp:lastPrinted>2000-12-22T07:04:52Z</cp:lastPrinted>
  <dcterms:created xsi:type="dcterms:W3CDTF">2000-12-22T06:48:39Z</dcterms:created>
  <dcterms:modified xsi:type="dcterms:W3CDTF">2024-07-23T07:45:23Z</dcterms:modified>
</cp:coreProperties>
</file>