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25EA880-1C52-4E46-95B5-C8E342E4EE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G21" i="1" l="1"/>
  <c r="R21" i="1" s="1"/>
  <c r="E24" i="1"/>
  <c r="F24" i="1" s="1"/>
  <c r="G24" i="1" s="1"/>
  <c r="H24" i="1" s="1"/>
  <c r="Q24" i="1"/>
  <c r="F12" i="1"/>
  <c r="E28" i="1"/>
  <c r="F28" i="1" s="1"/>
  <c r="G28" i="1" s="1"/>
  <c r="E22" i="1"/>
  <c r="F22" i="1" s="1"/>
  <c r="G22" i="1" s="1"/>
  <c r="E23" i="1"/>
  <c r="F23" i="1" s="1"/>
  <c r="G23" i="1" s="1"/>
  <c r="E25" i="1"/>
  <c r="F25" i="1" s="1"/>
  <c r="G25" i="1" s="1"/>
  <c r="E26" i="1"/>
  <c r="F26" i="1" s="1"/>
  <c r="G26" i="1" s="1"/>
  <c r="E27" i="1"/>
  <c r="F27" i="1" s="1"/>
  <c r="G27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C14" i="1"/>
  <c r="C13" i="1"/>
  <c r="E21" i="1"/>
  <c r="F21" i="1" s="1"/>
  <c r="D14" i="1"/>
  <c r="D13" i="1"/>
  <c r="Q22" i="1"/>
  <c r="Q23" i="1"/>
  <c r="Q25" i="1"/>
  <c r="Q26" i="1"/>
  <c r="Q27" i="1"/>
  <c r="Q28" i="1"/>
  <c r="Q29" i="1"/>
  <c r="Q30" i="1"/>
  <c r="Q31" i="1"/>
  <c r="Q32" i="1"/>
  <c r="Q33" i="1"/>
  <c r="Q34" i="1"/>
  <c r="Q35" i="1"/>
  <c r="C17" i="1"/>
  <c r="Q21" i="1"/>
  <c r="I21" i="1" l="1"/>
  <c r="R35" i="1"/>
  <c r="K35" i="1"/>
  <c r="R27" i="1"/>
  <c r="I27" i="1"/>
  <c r="I26" i="1"/>
  <c r="R26" i="1"/>
  <c r="K30" i="1"/>
  <c r="R30" i="1"/>
  <c r="S25" i="1"/>
  <c r="K25" i="1"/>
  <c r="K31" i="1"/>
  <c r="R31" i="1"/>
  <c r="S23" i="1"/>
  <c r="I23" i="1"/>
  <c r="I22" i="1"/>
  <c r="S22" i="1"/>
  <c r="R33" i="1"/>
  <c r="K33" i="1"/>
  <c r="S28" i="1"/>
  <c r="K28" i="1"/>
  <c r="R29" i="1"/>
  <c r="K29" i="1"/>
  <c r="S34" i="1"/>
  <c r="K34" i="1"/>
  <c r="K32" i="1"/>
  <c r="R32" i="1"/>
  <c r="F13" i="1"/>
  <c r="D11" i="1"/>
  <c r="D12" i="1"/>
  <c r="C11" i="1"/>
  <c r="C12" i="1"/>
  <c r="R19" i="1" l="1"/>
  <c r="E18" i="1" s="1"/>
  <c r="O24" i="1"/>
  <c r="P24" i="1"/>
  <c r="D16" i="1"/>
  <c r="D19" i="1" s="1"/>
  <c r="P28" i="1"/>
  <c r="P30" i="1"/>
  <c r="P32" i="1"/>
  <c r="P27" i="1"/>
  <c r="P29" i="1"/>
  <c r="P31" i="1"/>
  <c r="D15" i="1"/>
  <c r="C19" i="1" s="1"/>
  <c r="P33" i="1"/>
  <c r="P23" i="1"/>
  <c r="P21" i="1"/>
  <c r="P35" i="1"/>
  <c r="P34" i="1"/>
  <c r="P25" i="1"/>
  <c r="P26" i="1"/>
  <c r="P22" i="1"/>
  <c r="S19" i="1"/>
  <c r="E19" i="1" s="1"/>
  <c r="C16" i="1"/>
  <c r="D18" i="1" s="1"/>
  <c r="O22" i="1"/>
  <c r="O32" i="1"/>
  <c r="O21" i="1"/>
  <c r="O27" i="1"/>
  <c r="O23" i="1"/>
  <c r="O33" i="1"/>
  <c r="O35" i="1"/>
  <c r="O29" i="1"/>
  <c r="O34" i="1"/>
  <c r="O26" i="1"/>
  <c r="O28" i="1"/>
  <c r="O31" i="1"/>
  <c r="O25" i="1"/>
  <c r="O30" i="1"/>
  <c r="C15" i="1"/>
  <c r="F14" i="1" l="1"/>
  <c r="F16" i="1" s="1"/>
  <c r="C18" i="1"/>
  <c r="F15" i="1" l="1"/>
</calcChain>
</file>

<file path=xl/sharedStrings.xml><?xml version="1.0" encoding="utf-8"?>
<sst xmlns="http://schemas.openxmlformats.org/spreadsheetml/2006/main" count="85" uniqueCount="62">
  <si>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</si>
  <si>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</si>
  <si>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</si>
  <si>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</si>
  <si>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</si>
  <si>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</si>
  <si>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</si>
  <si>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</si>
  <si>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</si>
  <si>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</si>
  <si>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</si>
  <si>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</si>
  <si>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</si>
  <si>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</si>
  <si>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</si>
  <si>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</si>
  <si>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</si>
  <si>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</si>
  <si>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</si>
  <si>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</si>
  <si>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</si>
  <si>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</si>
  <si>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</si>
  <si>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</si>
  <si>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</si>
  <si>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</si>
  <si>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</si>
  <si>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</si>
  <si>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</si>
  <si>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</si>
  <si>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</si>
  <si>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</si>
  <si>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</si>
  <si>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</si>
  <si>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</si>
  <si>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</si>
  <si>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AL Ari / GSC 00645-01107</t>
  </si>
  <si>
    <t>E</t>
  </si>
  <si>
    <t>not avail.</t>
  </si>
  <si>
    <t>2001A&amp;A...374..980C</t>
  </si>
  <si>
    <t>Period checked by ToMcat 2017-11-21</t>
  </si>
  <si>
    <t>Clausen 2001</t>
  </si>
  <si>
    <t>I</t>
  </si>
  <si>
    <t>vis</t>
  </si>
  <si>
    <t>IBVS 5843</t>
  </si>
  <si>
    <t>II</t>
  </si>
  <si>
    <t>BAVM 203 </t>
  </si>
  <si>
    <t>IBVS 6007</t>
  </si>
  <si>
    <t>IBVS 6011</t>
  </si>
  <si>
    <t>IBVS 6033</t>
  </si>
  <si>
    <t>IBVS 6114</t>
  </si>
  <si>
    <t>IBVS 6202</t>
  </si>
  <si>
    <t>IBVS 6196</t>
  </si>
  <si>
    <t>PE</t>
  </si>
  <si>
    <t>CCD</t>
  </si>
  <si>
    <t xml:space="preserve">Mag </t>
  </si>
  <si>
    <t>Next ToM-P</t>
  </si>
  <si>
    <t>Next ToM-S</t>
  </si>
  <si>
    <t>9.21-9.77</t>
  </si>
  <si>
    <t>VSX</t>
  </si>
  <si>
    <t>ToMCat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</si>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</sst>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9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5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7" applyFont="1" applyAlignment="1">
      <alignment wrapText="1"/>
    </xf>
    <xf numFmtId="0" fontId="18" fillId="0" borderId="0" xfId="7" applyFont="1" applyAlignment="1">
      <alignment horizontal="center" wrapText="1"/>
    </xf>
    <xf numFmtId="0" fontId="18" fillId="0" borderId="0" xfId="7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1" fillId="0" borderId="9" xfId="0" applyFont="1" applyBorder="1" applyAlignment="1"/>
    <xf numFmtId="0" fontId="11" fillId="0" borderId="9" xfId="0" applyFont="1" applyBorder="1">
      <alignment vertical="top"/>
    </xf>
    <xf numFmtId="0" fontId="10" fillId="0" borderId="9" xfId="0" applyFont="1" applyBorder="1" applyAlignment="1"/>
    <xf numFmtId="22" fontId="10" fillId="0" borderId="9" xfId="0" applyNumberFormat="1" applyFont="1" applyBorder="1">
      <alignment vertical="top"/>
    </xf>
    <xf numFmtId="0" fontId="20" fillId="0" borderId="10" xfId="0" applyFont="1" applyBorder="1" applyAlignment="1">
      <alignment horizontal="right" vertical="center"/>
    </xf>
    <xf numFmtId="22" fontId="10" fillId="0" borderId="11" xfId="0" applyNumberFormat="1" applyFont="1" applyBorder="1" applyAlignment="1">
      <alignment horizontal="right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>
      <alignment vertical="top"/>
    </xf>
    <xf numFmtId="0" fontId="6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Ari - O-C Diagr.</a:t>
            </a:r>
          </a:p>
        </c:rich>
      </c:tx>
      <c:layout>
        <c:manualLayout>
          <c:xMode val="edge"/>
          <c:yMode val="edge"/>
          <c:x val="0.3854838709677419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3730354873522"/>
          <c:y val="0.12499790190802951"/>
          <c:w val="0.85020148028941622"/>
          <c:h val="0.6698363488263027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1'!$D$21:$D$493</c:f>
                <c:numCache>
                  <c:formatCode>General</c:formatCode>
                  <c:ptCount val="473"/>
                  <c:pt idx="0">
                    <c:v>1E-4</c:v>
                  </c:pt>
                  <c:pt idx="1">
                    <c:v>2.0000000000000001E-4</c:v>
                  </c:pt>
                  <c:pt idx="2">
                    <c:v>1E-3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4.4999999999999999E-4</c:v>
                  </c:pt>
                  <c:pt idx="8">
                    <c:v>5.0000000000000001E-4</c:v>
                  </c:pt>
                  <c:pt idx="9">
                    <c:v>2.5000000000000001E-4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9.0000000000000006E-5</c:v>
                  </c:pt>
                  <c:pt idx="13">
                    <c:v>2.0000000000000001E-4</c:v>
                  </c:pt>
                  <c:pt idx="14">
                    <c:v>4.0000000000000001E-3</c:v>
                  </c:pt>
                </c:numCache>
              </c:numRef>
            </c:plus>
            <c:minus>
              <c:numRef>
                <c:f>'Active 1'!$D$21:$D$493</c:f>
                <c:numCache>
                  <c:formatCode>General</c:formatCode>
                  <c:ptCount val="473"/>
                  <c:pt idx="0">
                    <c:v>1E-4</c:v>
                  </c:pt>
                  <c:pt idx="1">
                    <c:v>2.0000000000000001E-4</c:v>
                  </c:pt>
                  <c:pt idx="2">
                    <c:v>1E-3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4.4999999999999999E-4</c:v>
                  </c:pt>
                  <c:pt idx="8">
                    <c:v>5.0000000000000001E-4</c:v>
                  </c:pt>
                  <c:pt idx="9">
                    <c:v>2.5000000000000001E-4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9.0000000000000006E-5</c:v>
                  </c:pt>
                  <c:pt idx="13">
                    <c:v>2.0000000000000001E-4</c:v>
                  </c:pt>
                  <c:pt idx="1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1'!$H$21:$H$920</c:f>
              <c:numCache>
                <c:formatCode>General</c:formatCode>
                <c:ptCount val="900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D4-428D-867C-8278C99F9D89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1E-4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1'!$I$21:$I$920</c:f>
              <c:numCache>
                <c:formatCode>General</c:formatCode>
                <c:ptCount val="900"/>
                <c:pt idx="0">
                  <c:v>5.3499999921768904E-4</c:v>
                </c:pt>
                <c:pt idx="1">
                  <c:v>4.4618499996431638E-2</c:v>
                </c:pt>
                <c:pt idx="2">
                  <c:v>4.3190500000491738E-2</c:v>
                </c:pt>
                <c:pt idx="5">
                  <c:v>-2.6129999969271012E-3</c:v>
                </c:pt>
                <c:pt idx="6">
                  <c:v>-1.6969999996945262E-3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D4-428D-867C-8278C99F9D8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1E-4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1'!$J$21:$J$920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D4-428D-867C-8278C99F9D8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1'!$K$21:$K$920</c:f>
              <c:numCache>
                <c:formatCode>General</c:formatCode>
                <c:ptCount val="900"/>
                <c:pt idx="4">
                  <c:v>2.9688499998883344E-2</c:v>
                </c:pt>
                <c:pt idx="7">
                  <c:v>3.9576499999384396E-2</c:v>
                </c:pt>
                <c:pt idx="8">
                  <c:v>7.0839999971212819E-3</c:v>
                </c:pt>
                <c:pt idx="9">
                  <c:v>-1.9180000017513521E-3</c:v>
                </c:pt>
                <c:pt idx="10">
                  <c:v>-1.8790000031003729E-3</c:v>
                </c:pt>
                <c:pt idx="11">
                  <c:v>-2.4140000023180619E-3</c:v>
                </c:pt>
                <c:pt idx="12">
                  <c:v>-1.8859999981941655E-3</c:v>
                </c:pt>
                <c:pt idx="13">
                  <c:v>3.9984499991987832E-2</c:v>
                </c:pt>
                <c:pt idx="14">
                  <c:v>-4.1400000918656588E-4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D4-428D-867C-8278C99F9D8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D4-428D-867C-8278C99F9D8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D4-428D-867C-8278C99F9D8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D4-428D-867C-8278C99F9D8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58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0">
                  <c:v>3.5165984141636924E-5</c:v>
                </c:pt>
                <c:pt idx="1">
                  <c:v>3.2829459333005395E-5</c:v>
                </c:pt>
                <c:pt idx="2">
                  <c:v>3.0752548391999583E-5</c:v>
                </c:pt>
                <c:pt idx="3">
                  <c:v>-2.1146719010280336E-4</c:v>
                </c:pt>
                <c:pt idx="4">
                  <c:v>-2.7351490446535199E-4</c:v>
                </c:pt>
                <c:pt idx="5">
                  <c:v>-4.7575410734579306E-4</c:v>
                </c:pt>
                <c:pt idx="6">
                  <c:v>-4.8198484016881047E-4</c:v>
                </c:pt>
                <c:pt idx="7">
                  <c:v>-6.1932057614281989E-4</c:v>
                </c:pt>
                <c:pt idx="8">
                  <c:v>-6.206186454809485E-4</c:v>
                </c:pt>
                <c:pt idx="9">
                  <c:v>-6.2373401189245721E-4</c:v>
                </c:pt>
                <c:pt idx="10">
                  <c:v>-6.2529169509821156E-4</c:v>
                </c:pt>
                <c:pt idx="11">
                  <c:v>-6.2788783377446889E-4</c:v>
                </c:pt>
                <c:pt idx="12">
                  <c:v>-7.3484874723626827E-4</c:v>
                </c:pt>
                <c:pt idx="13">
                  <c:v>-8.3012703665490996E-4</c:v>
                </c:pt>
                <c:pt idx="14">
                  <c:v>-8.3557892787505025E-4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8F-4BCF-B691-645897791E04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  <c:pt idx="0">
                  <c:v>4.0863837581484645E-2</c:v>
                </c:pt>
                <c:pt idx="1">
                  <c:v>4.0854593531225454E-2</c:v>
                </c:pt>
                <c:pt idx="2">
                  <c:v>4.0846376597661736E-2</c:v>
                </c:pt>
                <c:pt idx="3">
                  <c:v>3.9888076720792601E-2</c:v>
                </c:pt>
                <c:pt idx="4">
                  <c:v>3.9642595830576395E-2</c:v>
                </c:pt>
                <c:pt idx="5">
                  <c:v>3.8842471924808913E-2</c:v>
                </c:pt>
                <c:pt idx="6">
                  <c:v>3.8817821124117746E-2</c:v>
                </c:pt>
                <c:pt idx="7">
                  <c:v>3.8274476392216601E-2</c:v>
                </c:pt>
                <c:pt idx="8">
                  <c:v>3.8269340808739276E-2</c:v>
                </c:pt>
                <c:pt idx="9">
                  <c:v>3.8257015408393692E-2</c:v>
                </c:pt>
                <c:pt idx="10">
                  <c:v>3.82508527082209E-2</c:v>
                </c:pt>
                <c:pt idx="11">
                  <c:v>3.8240581541266243E-2</c:v>
                </c:pt>
                <c:pt idx="12">
                  <c:v>3.7817409462734534E-2</c:v>
                </c:pt>
                <c:pt idx="13">
                  <c:v>3.7440457635498768E-2</c:v>
                </c:pt>
                <c:pt idx="14">
                  <c:v>3.7418888184894E-2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8F-4BCF-B691-645897791E04}"/>
            </c:ext>
          </c:extLst>
        </c:ser>
        <c:ser>
          <c:idx val="12"/>
          <c:order val="12"/>
          <c:tx>
            <c:strRef>
              <c:f>'Active 1'!$T$20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1'!$T$21:$T$920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8F-4BCF-B691-645897791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73671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'Active 1'!$Q$20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1'!$F$21:$F$920</c15:sqref>
                        </c15:formulaRef>
                      </c:ext>
                    </c:extLst>
                    <c:numCache>
                      <c:formatCode>General</c:formatCode>
                      <c:ptCount val="900"/>
                      <c:pt idx="0">
                        <c:v>-475</c:v>
                      </c:pt>
                      <c:pt idx="1">
                        <c:v>-470.5</c:v>
                      </c:pt>
                      <c:pt idx="2">
                        <c:v>-466.5</c:v>
                      </c:pt>
                      <c:pt idx="3">
                        <c:v>0</c:v>
                      </c:pt>
                      <c:pt idx="4">
                        <c:v>119.5</c:v>
                      </c:pt>
                      <c:pt idx="5">
                        <c:v>509</c:v>
                      </c:pt>
                      <c:pt idx="6">
                        <c:v>521</c:v>
                      </c:pt>
                      <c:pt idx="7">
                        <c:v>785.5</c:v>
                      </c:pt>
                      <c:pt idx="8">
                        <c:v>788</c:v>
                      </c:pt>
                      <c:pt idx="9">
                        <c:v>794</c:v>
                      </c:pt>
                      <c:pt idx="10">
                        <c:v>797</c:v>
                      </c:pt>
                      <c:pt idx="11">
                        <c:v>802</c:v>
                      </c:pt>
                      <c:pt idx="12">
                        <c:v>1008</c:v>
                      </c:pt>
                      <c:pt idx="13">
                        <c:v>1191.5</c:v>
                      </c:pt>
                      <c:pt idx="14">
                        <c:v>1202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1'!$Q$21:$Q$920</c15:sqref>
                        </c15:formulaRef>
                      </c:ext>
                    </c:extLst>
                    <c:numCache>
                      <c:formatCode>m/d/yyyy</c:formatCode>
                      <c:ptCount val="900"/>
                      <c:pt idx="0">
                        <c:v>36094.307460000004</c:v>
                      </c:pt>
                      <c:pt idx="1">
                        <c:v>36111.215100000001</c:v>
                      </c:pt>
                      <c:pt idx="2">
                        <c:v>36126.203500000003</c:v>
                      </c:pt>
                      <c:pt idx="3">
                        <c:v>37874.349000000002</c:v>
                      </c:pt>
                      <c:pt idx="4">
                        <c:v>38322.199800000002</c:v>
                      </c:pt>
                      <c:pt idx="5">
                        <c:v>39781.802000000003</c:v>
                      </c:pt>
                      <c:pt idx="6">
                        <c:v>39826.772400000002</c:v>
                      </c:pt>
                      <c:pt idx="7">
                        <c:v>40818.016049999998</c:v>
                      </c:pt>
                      <c:pt idx="8">
                        <c:v>40827.352200000001</c:v>
                      </c:pt>
                      <c:pt idx="9">
                        <c:v>40849.827940000003</c:v>
                      </c:pt>
                      <c:pt idx="10">
                        <c:v>40861.070350000002</c:v>
                      </c:pt>
                      <c:pt idx="11">
                        <c:v>40879.807099999998</c:v>
                      </c:pt>
                      <c:pt idx="12">
                        <c:v>41651.783770000002</c:v>
                      </c:pt>
                      <c:pt idx="13">
                        <c:v>42339.483999999997</c:v>
                      </c:pt>
                      <c:pt idx="14">
                        <c:v>42378.791899999997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968F-4BCF-B691-645897791E04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'Active 1'!$R$20</c15:sqref>
                        </c15:formulaRef>
                      </c:ext>
                    </c:extLst>
                    <c:strCache>
                      <c:ptCount val="1"/>
                      <c:pt idx="0">
                        <c:v>Primary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'Active 1'!$F$21:$F$920</c15:sqref>
                        </c15:formulaRef>
                      </c:ext>
                    </c:extLst>
                    <c:numCache>
                      <c:formatCode>General</c:formatCode>
                      <c:ptCount val="900"/>
                      <c:pt idx="0">
                        <c:v>-475</c:v>
                      </c:pt>
                      <c:pt idx="1">
                        <c:v>-470.5</c:v>
                      </c:pt>
                      <c:pt idx="2">
                        <c:v>-466.5</c:v>
                      </c:pt>
                      <c:pt idx="3">
                        <c:v>0</c:v>
                      </c:pt>
                      <c:pt idx="4">
                        <c:v>119.5</c:v>
                      </c:pt>
                      <c:pt idx="5">
                        <c:v>509</c:v>
                      </c:pt>
                      <c:pt idx="6">
                        <c:v>521</c:v>
                      </c:pt>
                      <c:pt idx="7">
                        <c:v>785.5</c:v>
                      </c:pt>
                      <c:pt idx="8">
                        <c:v>788</c:v>
                      </c:pt>
                      <c:pt idx="9">
                        <c:v>794</c:v>
                      </c:pt>
                      <c:pt idx="10">
                        <c:v>797</c:v>
                      </c:pt>
                      <c:pt idx="11">
                        <c:v>802</c:v>
                      </c:pt>
                      <c:pt idx="12">
                        <c:v>1008</c:v>
                      </c:pt>
                      <c:pt idx="13">
                        <c:v>1191.5</c:v>
                      </c:pt>
                      <c:pt idx="14">
                        <c:v>1202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'Active 1'!$R$21:$R$920</c15:sqref>
                        </c15:formulaRef>
                      </c:ext>
                    </c:extLst>
                    <c:numCache>
                      <c:formatCode>General</c:formatCode>
                      <c:ptCount val="900"/>
                      <c:pt idx="0">
                        <c:v>5.3499999921768904E-4</c:v>
                      </c:pt>
                      <c:pt idx="3">
                        <c:v>0</c:v>
                      </c:pt>
                      <c:pt idx="5">
                        <c:v>-2.6129999969271012E-3</c:v>
                      </c:pt>
                      <c:pt idx="6">
                        <c:v>-1.6969999996945262E-3</c:v>
                      </c:pt>
                      <c:pt idx="8">
                        <c:v>7.0839999971212819E-3</c:v>
                      </c:pt>
                      <c:pt idx="9">
                        <c:v>-1.9180000017513521E-3</c:v>
                      </c:pt>
                      <c:pt idx="10">
                        <c:v>-1.8790000031003729E-3</c:v>
                      </c:pt>
                      <c:pt idx="11">
                        <c:v>-2.4140000023180619E-3</c:v>
                      </c:pt>
                      <c:pt idx="12">
                        <c:v>-1.8859999981941655E-3</c:v>
                      </c:pt>
                      <c:pt idx="14">
                        <c:v>-4.1400000918656588E-4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968F-4BCF-B691-645897791E04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'Active 1'!$S$20</c15:sqref>
                        </c15:formulaRef>
                      </c:ext>
                    </c:extLst>
                    <c:strCache>
                      <c:ptCount val="1"/>
                      <c:pt idx="0">
                        <c:v>Secondary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'Active 1'!$F$21:$F$920</c15:sqref>
                        </c15:formulaRef>
                      </c:ext>
                    </c:extLst>
                    <c:numCache>
                      <c:formatCode>General</c:formatCode>
                      <c:ptCount val="900"/>
                      <c:pt idx="0">
                        <c:v>-475</c:v>
                      </c:pt>
                      <c:pt idx="1">
                        <c:v>-470.5</c:v>
                      </c:pt>
                      <c:pt idx="2">
                        <c:v>-466.5</c:v>
                      </c:pt>
                      <c:pt idx="3">
                        <c:v>0</c:v>
                      </c:pt>
                      <c:pt idx="4">
                        <c:v>119.5</c:v>
                      </c:pt>
                      <c:pt idx="5">
                        <c:v>509</c:v>
                      </c:pt>
                      <c:pt idx="6">
                        <c:v>521</c:v>
                      </c:pt>
                      <c:pt idx="7">
                        <c:v>785.5</c:v>
                      </c:pt>
                      <c:pt idx="8">
                        <c:v>788</c:v>
                      </c:pt>
                      <c:pt idx="9">
                        <c:v>794</c:v>
                      </c:pt>
                      <c:pt idx="10">
                        <c:v>797</c:v>
                      </c:pt>
                      <c:pt idx="11">
                        <c:v>802</c:v>
                      </c:pt>
                      <c:pt idx="12">
                        <c:v>1008</c:v>
                      </c:pt>
                      <c:pt idx="13">
                        <c:v>1191.5</c:v>
                      </c:pt>
                      <c:pt idx="14">
                        <c:v>1202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'Active 1'!$S$21:$S$920</c15:sqref>
                        </c15:formulaRef>
                      </c:ext>
                    </c:extLst>
                    <c:numCache>
                      <c:formatCode>General</c:formatCode>
                      <c:ptCount val="900"/>
                      <c:pt idx="1">
                        <c:v>4.4618499996431638E-2</c:v>
                      </c:pt>
                      <c:pt idx="2">
                        <c:v>4.3190500000491738E-2</c:v>
                      </c:pt>
                      <c:pt idx="4">
                        <c:v>2.9688499998883344E-2</c:v>
                      </c:pt>
                      <c:pt idx="7">
                        <c:v>3.9576499999384396E-2</c:v>
                      </c:pt>
                      <c:pt idx="13">
                        <c:v>3.9984499991987832E-2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968F-4BCF-B691-645897791E04}"/>
                  </c:ext>
                </c:extLst>
              </c15:ser>
            </c15:filteredScatterSeries>
          </c:ext>
        </c:extLst>
      </c:scatterChart>
      <c:valAx>
        <c:axId val="70273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9638037945986"/>
              <c:y val="0.8472651576860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535343665983362E-2"/>
              <c:y val="0.37082055965574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73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419354838709679"/>
          <c:y val="0.92097264437689974"/>
          <c:w val="0.62580638958591717"/>
          <c:h val="5.81594893230938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Ari - Prim. O-C Diagr.</a:t>
            </a:r>
          </a:p>
        </c:rich>
      </c:tx>
      <c:layout>
        <c:manualLayout>
          <c:xMode val="edge"/>
          <c:yMode val="edge"/>
          <c:x val="0.3076925259602424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1'!$R$21:$R$920</c:f>
              <c:numCache>
                <c:formatCode>General</c:formatCode>
                <c:ptCount val="900"/>
                <c:pt idx="0">
                  <c:v>5.3499999921768904E-4</c:v>
                </c:pt>
                <c:pt idx="3">
                  <c:v>0</c:v>
                </c:pt>
                <c:pt idx="5">
                  <c:v>-2.6129999969271012E-3</c:v>
                </c:pt>
                <c:pt idx="6">
                  <c:v>-1.6969999996945262E-3</c:v>
                </c:pt>
                <c:pt idx="8">
                  <c:v>7.0839999971212819E-3</c:v>
                </c:pt>
                <c:pt idx="9">
                  <c:v>-1.9180000017513521E-3</c:v>
                </c:pt>
                <c:pt idx="10">
                  <c:v>-1.8790000031003729E-3</c:v>
                </c:pt>
                <c:pt idx="11">
                  <c:v>-2.4140000023180619E-3</c:v>
                </c:pt>
                <c:pt idx="12">
                  <c:v>-1.8859999981941655E-3</c:v>
                </c:pt>
                <c:pt idx="14">
                  <c:v>-4.1400000918656588E-4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A-4157-844B-CA16BAF27E0A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0">
                  <c:v>3.5165984141636924E-5</c:v>
                </c:pt>
                <c:pt idx="1">
                  <c:v>3.2829459333005395E-5</c:v>
                </c:pt>
                <c:pt idx="2">
                  <c:v>3.0752548391999583E-5</c:v>
                </c:pt>
                <c:pt idx="3">
                  <c:v>-2.1146719010280336E-4</c:v>
                </c:pt>
                <c:pt idx="4">
                  <c:v>-2.7351490446535199E-4</c:v>
                </c:pt>
                <c:pt idx="5">
                  <c:v>-4.7575410734579306E-4</c:v>
                </c:pt>
                <c:pt idx="6">
                  <c:v>-4.8198484016881047E-4</c:v>
                </c:pt>
                <c:pt idx="7">
                  <c:v>-6.1932057614281989E-4</c:v>
                </c:pt>
                <c:pt idx="8">
                  <c:v>-6.206186454809485E-4</c:v>
                </c:pt>
                <c:pt idx="9">
                  <c:v>-6.2373401189245721E-4</c:v>
                </c:pt>
                <c:pt idx="10">
                  <c:v>-6.2529169509821156E-4</c:v>
                </c:pt>
                <c:pt idx="11">
                  <c:v>-6.2788783377446889E-4</c:v>
                </c:pt>
                <c:pt idx="12">
                  <c:v>-7.3484874723626827E-4</c:v>
                </c:pt>
                <c:pt idx="13">
                  <c:v>-8.3012703665490996E-4</c:v>
                </c:pt>
                <c:pt idx="14">
                  <c:v>-8.3557892787505025E-4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2A-4157-844B-CA16BAF27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411192"/>
        <c:axId val="1"/>
      </c:scatterChart>
      <c:valAx>
        <c:axId val="574411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41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Ari - Sec. O-C Diagr.</a:t>
            </a:r>
          </a:p>
        </c:rich>
      </c:tx>
      <c:layout>
        <c:manualLayout>
          <c:xMode val="edge"/>
          <c:yMode val="edge"/>
          <c:x val="0.3163267448711767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51037897638211"/>
          <c:y val="0.1458966565349544"/>
          <c:w val="0.7673477034316240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1'!$S$21:$S$920</c:f>
              <c:numCache>
                <c:formatCode>General</c:formatCode>
                <c:ptCount val="900"/>
                <c:pt idx="1">
                  <c:v>4.4618499996431638E-2</c:v>
                </c:pt>
                <c:pt idx="2">
                  <c:v>4.3190500000491738E-2</c:v>
                </c:pt>
                <c:pt idx="4">
                  <c:v>2.9688499998883344E-2</c:v>
                </c:pt>
                <c:pt idx="7">
                  <c:v>3.9576499999384396E-2</c:v>
                </c:pt>
                <c:pt idx="13">
                  <c:v>3.9984499991987832E-2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F9-472E-BC78-D547F37CC2E9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-475</c:v>
                </c:pt>
                <c:pt idx="1">
                  <c:v>-470.5</c:v>
                </c:pt>
                <c:pt idx="2">
                  <c:v>-466.5</c:v>
                </c:pt>
                <c:pt idx="3">
                  <c:v>0</c:v>
                </c:pt>
                <c:pt idx="4">
                  <c:v>119.5</c:v>
                </c:pt>
                <c:pt idx="5">
                  <c:v>509</c:v>
                </c:pt>
                <c:pt idx="6">
                  <c:v>521</c:v>
                </c:pt>
                <c:pt idx="7">
                  <c:v>785.5</c:v>
                </c:pt>
                <c:pt idx="8">
                  <c:v>788</c:v>
                </c:pt>
                <c:pt idx="9">
                  <c:v>794</c:v>
                </c:pt>
                <c:pt idx="10">
                  <c:v>797</c:v>
                </c:pt>
                <c:pt idx="11">
                  <c:v>802</c:v>
                </c:pt>
                <c:pt idx="12">
                  <c:v>1008</c:v>
                </c:pt>
                <c:pt idx="13">
                  <c:v>1191.5</c:v>
                </c:pt>
                <c:pt idx="14">
                  <c:v>1202</c:v>
                </c:pt>
              </c:numCache>
            </c:numRef>
          </c:xVal>
          <c:yVal>
            <c:numRef>
              <c:f>'Active 1'!$P$21:$P$920</c:f>
              <c:numCache>
                <c:formatCode>General</c:formatCode>
                <c:ptCount val="900"/>
                <c:pt idx="0">
                  <c:v>4.0863837581484645E-2</c:v>
                </c:pt>
                <c:pt idx="1">
                  <c:v>4.0854593531225454E-2</c:v>
                </c:pt>
                <c:pt idx="2">
                  <c:v>4.0846376597661736E-2</c:v>
                </c:pt>
                <c:pt idx="3">
                  <c:v>3.9888076720792601E-2</c:v>
                </c:pt>
                <c:pt idx="4">
                  <c:v>3.9642595830576395E-2</c:v>
                </c:pt>
                <c:pt idx="5">
                  <c:v>3.8842471924808913E-2</c:v>
                </c:pt>
                <c:pt idx="6">
                  <c:v>3.8817821124117746E-2</c:v>
                </c:pt>
                <c:pt idx="7">
                  <c:v>3.8274476392216601E-2</c:v>
                </c:pt>
                <c:pt idx="8">
                  <c:v>3.8269340808739276E-2</c:v>
                </c:pt>
                <c:pt idx="9">
                  <c:v>3.8257015408393692E-2</c:v>
                </c:pt>
                <c:pt idx="10">
                  <c:v>3.82508527082209E-2</c:v>
                </c:pt>
                <c:pt idx="11">
                  <c:v>3.8240581541266243E-2</c:v>
                </c:pt>
                <c:pt idx="12">
                  <c:v>3.7817409462734534E-2</c:v>
                </c:pt>
                <c:pt idx="13">
                  <c:v>3.7440457635498768E-2</c:v>
                </c:pt>
                <c:pt idx="14">
                  <c:v>3.7418888184894E-2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F9-472E-BC78-D547F37CC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733472"/>
        <c:axId val="1"/>
      </c:scatterChart>
      <c:valAx>
        <c:axId val="70273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126734158229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733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87797953827197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0</xdr:row>
      <xdr:rowOff>0</xdr:rowOff>
    </xdr:from>
    <xdr:to>
      <xdr:col>19</xdr:col>
      <xdr:colOff>276224</xdr:colOff>
      <xdr:row>18</xdr:row>
      <xdr:rowOff>76200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BA91EB7D-3269-6D54-D3EB-A0B980EB3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104774</xdr:rowOff>
    </xdr:from>
    <xdr:to>
      <xdr:col>14</xdr:col>
      <xdr:colOff>219075</xdr:colOff>
      <xdr:row>20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623B94-0705-2761-55C1-BDC4777E4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266699</xdr:colOff>
      <xdr:row>20</xdr:row>
      <xdr:rowOff>123825</xdr:rowOff>
    </xdr:from>
    <xdr:to>
      <xdr:col>14</xdr:col>
      <xdr:colOff>200024</xdr:colOff>
      <xdr:row>42</xdr:row>
      <xdr:rowOff>85725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326356D-6AD1-134D-4DC2-8D0C1144B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2" sqref="F2"/>
    </sheetView>
  </sheetViews>
  <sheetFormatPr defaultColWidth="10.28515625" defaultRowHeight="12.95" customHeight="1" x14ac:dyDescent="0.2"/>
  <cols>
    <col min="1" max="1" width="14.42578125" customWidth="1"/>
    <col min="2" max="2" width="3.85546875" customWidth="1"/>
    <col min="3" max="3" width="12.140625" customWidth="1"/>
    <col min="4" max="4" width="11.7109375" customWidth="1"/>
    <col min="5" max="5" width="12.42578125" customWidth="1"/>
    <col min="6" max="6" width="16.71093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ht="12.95" customHeight="1" x14ac:dyDescent="0.2">
      <c r="A2" t="s">
        <v>16</v>
      </c>
      <c r="B2" s="20" t="s">
        <v>37</v>
      </c>
    </row>
    <row r="3" spans="1:6" ht="12.95" customHeight="1" thickBot="1" x14ac:dyDescent="0.25"/>
    <row r="4" spans="1:6" ht="12.95" customHeight="1" thickTop="1" thickBot="1" x14ac:dyDescent="0.25">
      <c r="A4" s="6" t="s">
        <v>0</v>
      </c>
      <c r="C4" s="21" t="s">
        <v>38</v>
      </c>
      <c r="D4" s="22" t="s">
        <v>38</v>
      </c>
    </row>
    <row r="5" spans="1:6" ht="12.95" customHeight="1" thickTop="1" x14ac:dyDescent="0.2">
      <c r="A5" s="18" t="s">
        <v>30</v>
      </c>
      <c r="B5" s="12"/>
      <c r="C5" s="19">
        <v>-9.5</v>
      </c>
      <c r="D5" s="12" t="s">
        <v>31</v>
      </c>
    </row>
    <row r="6" spans="1:6" ht="12.95" customHeight="1" x14ac:dyDescent="0.2">
      <c r="A6" s="6" t="s">
        <v>1</v>
      </c>
      <c r="E6" s="52" t="s">
        <v>60</v>
      </c>
    </row>
    <row r="7" spans="1:6" ht="12.95" customHeight="1" x14ac:dyDescent="0.2">
      <c r="A7" t="s">
        <v>2</v>
      </c>
      <c r="C7" s="51">
        <v>52892.849000000002</v>
      </c>
      <c r="D7" s="50" t="s">
        <v>59</v>
      </c>
      <c r="E7" s="53">
        <v>51112.807460000004</v>
      </c>
      <c r="F7" t="s">
        <v>39</v>
      </c>
    </row>
    <row r="8" spans="1:6" ht="12.95" customHeight="1" x14ac:dyDescent="0.2">
      <c r="A8" t="s">
        <v>3</v>
      </c>
      <c r="C8" s="51">
        <v>3.7474569999999998</v>
      </c>
      <c r="D8" s="51" t="s">
        <v>59</v>
      </c>
      <c r="E8" s="54">
        <v>3.7474620000000001</v>
      </c>
      <c r="F8" t="s">
        <v>40</v>
      </c>
    </row>
    <row r="9" spans="1:6" ht="12.95" customHeight="1" x14ac:dyDescent="0.2">
      <c r="A9" s="10" t="s">
        <v>27</v>
      </c>
      <c r="B9" s="10"/>
      <c r="C9" s="11">
        <v>21</v>
      </c>
      <c r="D9" s="11">
        <v>21</v>
      </c>
    </row>
    <row r="10" spans="1:6" ht="12.95" customHeight="1" thickBot="1" x14ac:dyDescent="0.25">
      <c r="A10" s="12"/>
      <c r="B10" s="12"/>
      <c r="C10" s="5" t="s">
        <v>18</v>
      </c>
      <c r="D10" s="5" t="s">
        <v>19</v>
      </c>
      <c r="E10" s="56" t="s">
        <v>55</v>
      </c>
      <c r="F10" s="49" t="s">
        <v>58</v>
      </c>
    </row>
    <row r="11" spans="1:6" ht="12.95" customHeight="1" x14ac:dyDescent="0.2">
      <c r="A11" s="12" t="s">
        <v>13</v>
      </c>
      <c r="B11" s="12"/>
      <c r="C11" s="13">
        <f ca="1">INTERCEPT(INDIRECT(C14):R$934,INDIRECT(C13):$F$934)</f>
        <v>-2.1146719010280336E-4</v>
      </c>
      <c r="D11" s="13">
        <f ca="1">INTERCEPT(INDIRECT(D14):S$934,INDIRECT(D13):$F$934)</f>
        <v>3.9888076720792601E-2</v>
      </c>
      <c r="E11" s="42" t="s">
        <v>32</v>
      </c>
      <c r="F11" s="43">
        <v>1</v>
      </c>
    </row>
    <row r="12" spans="1:6" ht="12.95" customHeight="1" x14ac:dyDescent="0.2">
      <c r="A12" s="12" t="s">
        <v>14</v>
      </c>
      <c r="B12" s="12"/>
      <c r="C12" s="13">
        <f ca="1">SLOPE(INDIRECT(C14):R$934,INDIRECT(C13):$F$934)</f>
        <v>-5.1922773525145323E-7</v>
      </c>
      <c r="D12" s="13">
        <f ca="1">SLOPE(INDIRECT(D14):S$934,INDIRECT(D13):$F$934)</f>
        <v>-2.054233390930619E-6</v>
      </c>
      <c r="E12" s="42" t="s">
        <v>33</v>
      </c>
      <c r="F12" s="44">
        <f ca="1">NOW()+15018.5+$C$5/24</f>
        <v>60515.72782511574</v>
      </c>
    </row>
    <row r="13" spans="1:6" ht="12.95" customHeight="1" x14ac:dyDescent="0.2">
      <c r="A13" s="10" t="s">
        <v>28</v>
      </c>
      <c r="B13" s="10"/>
      <c r="C13" s="11" t="str">
        <f>"F"&amp;C9</f>
        <v>F21</v>
      </c>
      <c r="D13" s="11" t="str">
        <f>"F"&amp;D9</f>
        <v>F21</v>
      </c>
      <c r="E13" s="42" t="s">
        <v>34</v>
      </c>
      <c r="F13" s="44">
        <f ca="1">ROUND(2*($F$12-$C$7)/$C$8,0)/2+$F$11</f>
        <v>2035</v>
      </c>
    </row>
    <row r="14" spans="1:6" ht="12.95" customHeight="1" x14ac:dyDescent="0.2">
      <c r="A14" s="10" t="s">
        <v>29</v>
      </c>
      <c r="B14" s="10"/>
      <c r="C14" s="11" t="str">
        <f>"R"&amp;C9</f>
        <v>R21</v>
      </c>
      <c r="D14" s="11" t="str">
        <f>"S"&amp;D9</f>
        <v>S21</v>
      </c>
      <c r="E14" s="42" t="s">
        <v>35</v>
      </c>
      <c r="F14" s="45">
        <f ca="1">ROUND(2*($F$12-$C$15)/$C$16,0)/2+$F$11</f>
        <v>833</v>
      </c>
    </row>
    <row r="15" spans="1:6" ht="12.95" customHeight="1" x14ac:dyDescent="0.2">
      <c r="A15" s="14" t="s">
        <v>15</v>
      </c>
      <c r="B15" s="12"/>
      <c r="C15" s="15">
        <f ca="1">($C7+C11)+($C8+C12)*INT(MAX($F21:$F3532))</f>
        <v>57397.291478421073</v>
      </c>
      <c r="D15" s="15">
        <f ca="1">($C7+D11)+($C8+D12)*INT(MAX($F21:$F3532))</f>
        <v>57397.329732888189</v>
      </c>
      <c r="E15" s="42" t="s">
        <v>56</v>
      </c>
      <c r="F15" s="46">
        <f ca="1">+$C$15+$C$16*$F$14-15018.5-$C$5/24</f>
        <v>45500.818560237705</v>
      </c>
    </row>
    <row r="16" spans="1:6" ht="12.95" customHeight="1" x14ac:dyDescent="0.2">
      <c r="A16" s="16" t="s">
        <v>4</v>
      </c>
      <c r="B16" s="12"/>
      <c r="C16" s="17">
        <f ca="1">+$C8+C12</f>
        <v>3.7474564807722648</v>
      </c>
      <c r="D16" s="13">
        <f ca="1">+$C8+D12</f>
        <v>3.7474549457666089</v>
      </c>
      <c r="E16" s="47" t="s">
        <v>57</v>
      </c>
      <c r="F16" s="48">
        <f ca="1">+($D$15+$D$16*$F$14)-($D$16/2)-15018.5-$C$5/24</f>
        <v>45498.981808572222</v>
      </c>
    </row>
    <row r="17" spans="1:23" ht="12.95" customHeight="1" thickBot="1" x14ac:dyDescent="0.25">
      <c r="A17" s="9" t="s">
        <v>26</v>
      </c>
      <c r="C17">
        <f>COUNT(C21:C1246)</f>
        <v>15</v>
      </c>
    </row>
    <row r="18" spans="1:23" ht="12.95" customHeight="1" thickTop="1" thickBot="1" x14ac:dyDescent="0.25">
      <c r="A18" s="6" t="s">
        <v>21</v>
      </c>
      <c r="C18" s="3">
        <f ca="1">+C15</f>
        <v>57397.291478421073</v>
      </c>
      <c r="D18" s="4">
        <f ca="1">+C16</f>
        <v>3.7474564807722648</v>
      </c>
      <c r="E18" s="41">
        <f>R19</f>
        <v>10</v>
      </c>
    </row>
    <row r="19" spans="1:23" ht="12.95" customHeight="1" thickTop="1" thickBot="1" x14ac:dyDescent="0.25">
      <c r="A19" s="6" t="s">
        <v>22</v>
      </c>
      <c r="C19" s="3">
        <f ca="1">+D15</f>
        <v>57397.329732888189</v>
      </c>
      <c r="D19" s="4">
        <f ca="1">+D16</f>
        <v>3.7474549457666089</v>
      </c>
      <c r="E19" s="41">
        <f>S19</f>
        <v>5</v>
      </c>
      <c r="R19">
        <f>COUNT(R21:R321)</f>
        <v>10</v>
      </c>
      <c r="S19">
        <f>COUNT(S21:S321)</f>
        <v>5</v>
      </c>
    </row>
    <row r="20" spans="1:23" ht="12.95" customHeight="1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59</v>
      </c>
      <c r="I20" s="8" t="s">
        <v>43</v>
      </c>
      <c r="J20" s="8" t="s">
        <v>53</v>
      </c>
      <c r="K20" s="8" t="s">
        <v>54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7" t="s">
        <v>18</v>
      </c>
      <c r="S20" s="7" t="s">
        <v>19</v>
      </c>
      <c r="T20" s="55" t="s">
        <v>61</v>
      </c>
    </row>
    <row r="21" spans="1:23" ht="12.95" customHeight="1" x14ac:dyDescent="0.2">
      <c r="A21" t="s">
        <v>41</v>
      </c>
      <c r="C21" s="23">
        <v>51112.807460000004</v>
      </c>
      <c r="D21" s="23">
        <v>1E-4</v>
      </c>
      <c r="E21">
        <f>+(C21-C$7)/C$8</f>
        <v>-474.99985723652026</v>
      </c>
      <c r="F21">
        <f>ROUND(2*E21,0)/2</f>
        <v>-475</v>
      </c>
      <c r="G21">
        <f>+C21-(C$7+F21*C$8)</f>
        <v>5.3499999921768904E-4</v>
      </c>
      <c r="I21">
        <f>+G21</f>
        <v>5.3499999921768904E-4</v>
      </c>
      <c r="O21">
        <f ca="1">+C$11+C$12*$F21</f>
        <v>3.5165984141636924E-5</v>
      </c>
      <c r="P21">
        <f ca="1">+D$11+D$12*$F21</f>
        <v>4.0863837581484645E-2</v>
      </c>
      <c r="Q21" s="2">
        <f>+C21-15018.5</f>
        <v>36094.307460000004</v>
      </c>
      <c r="R21">
        <f>G21</f>
        <v>5.3499999921768904E-4</v>
      </c>
      <c r="W21" t="s">
        <v>39</v>
      </c>
    </row>
    <row r="22" spans="1:23" ht="12.95" customHeight="1" x14ac:dyDescent="0.2">
      <c r="A22" t="s">
        <v>41</v>
      </c>
      <c r="C22" s="23">
        <v>51129.715100000001</v>
      </c>
      <c r="D22" s="23">
        <v>2.0000000000000001E-4</v>
      </c>
      <c r="E22">
        <f>+(C22-C$7)/C$8</f>
        <v>-470.488093659247</v>
      </c>
      <c r="F22">
        <f>ROUND(2*E22,0)/2</f>
        <v>-470.5</v>
      </c>
      <c r="G22">
        <f>+C22-(C$7+F22*C$8)</f>
        <v>4.4618499996431638E-2</v>
      </c>
      <c r="I22">
        <f>+G22</f>
        <v>4.4618499996431638E-2</v>
      </c>
      <c r="O22">
        <f ca="1">+C$11+C$12*$F22</f>
        <v>3.2829459333005395E-5</v>
      </c>
      <c r="P22">
        <f ca="1">+D$11+D$12*$F22</f>
        <v>4.0854593531225454E-2</v>
      </c>
      <c r="Q22" s="2">
        <f>+C22-15018.5</f>
        <v>36111.215100000001</v>
      </c>
      <c r="S22">
        <f>G22</f>
        <v>4.4618499996431638E-2</v>
      </c>
    </row>
    <row r="23" spans="1:23" ht="12.95" customHeight="1" x14ac:dyDescent="0.2">
      <c r="A23" s="27" t="s">
        <v>41</v>
      </c>
      <c r="B23" s="27"/>
      <c r="C23" s="28">
        <v>51144.703500000003</v>
      </c>
      <c r="D23" s="28">
        <v>1E-3</v>
      </c>
      <c r="E23">
        <f>+(C23-C$7)/C$8</f>
        <v>-466.48847471765487</v>
      </c>
      <c r="F23">
        <f>ROUND(2*E23,0)/2</f>
        <v>-466.5</v>
      </c>
      <c r="G23">
        <f>+C23-(C$7+F23*C$8)</f>
        <v>4.3190500000491738E-2</v>
      </c>
      <c r="I23">
        <f>+G23</f>
        <v>4.3190500000491738E-2</v>
      </c>
      <c r="O23">
        <f ca="1">+C$11+C$12*$F23</f>
        <v>3.0752548391999583E-5</v>
      </c>
      <c r="P23">
        <f ca="1">+D$11+D$12*$F23</f>
        <v>4.0846376597661736E-2</v>
      </c>
      <c r="Q23" s="2">
        <f>+C23-15018.5</f>
        <v>36126.203500000003</v>
      </c>
      <c r="S23">
        <f>G23</f>
        <v>4.3190500000491738E-2</v>
      </c>
    </row>
    <row r="24" spans="1:23" ht="12.95" customHeight="1" x14ac:dyDescent="0.2">
      <c r="A24" s="51" t="s">
        <v>59</v>
      </c>
      <c r="C24">
        <v>52892.849000000002</v>
      </c>
      <c r="E24" s="27">
        <f>+(C24-C$7)/C$8</f>
        <v>0</v>
      </c>
      <c r="F24">
        <f>ROUND(2*E24,0)/2</f>
        <v>0</v>
      </c>
      <c r="G24">
        <f>+C24-(C$7+F24*C$8)</f>
        <v>0</v>
      </c>
      <c r="H24">
        <f>+G24</f>
        <v>0</v>
      </c>
      <c r="O24">
        <f ca="1">+C$11+C$12*$F24</f>
        <v>-2.1146719010280336E-4</v>
      </c>
      <c r="P24">
        <f ca="1">+D$11+D$12*$F24</f>
        <v>3.9888076720792601E-2</v>
      </c>
      <c r="Q24" s="2">
        <f>+C24-15018.5</f>
        <v>37874.349000000002</v>
      </c>
      <c r="R24">
        <v>0</v>
      </c>
    </row>
    <row r="25" spans="1:23" ht="12.95" customHeight="1" x14ac:dyDescent="0.2">
      <c r="A25" s="29" t="s">
        <v>44</v>
      </c>
      <c r="B25" s="30" t="s">
        <v>45</v>
      </c>
      <c r="C25" s="28">
        <v>53340.699800000002</v>
      </c>
      <c r="D25" s="28">
        <v>6.9999999999999999E-4</v>
      </c>
      <c r="E25">
        <f>+(C25-C$7)/C$8</f>
        <v>119.50792230571297</v>
      </c>
      <c r="F25">
        <f>ROUND(2*E25,0)/2</f>
        <v>119.5</v>
      </c>
      <c r="G25">
        <f>+C25-(C$7+F25*C$8)</f>
        <v>2.9688499998883344E-2</v>
      </c>
      <c r="K25">
        <f>+G25</f>
        <v>2.9688499998883344E-2</v>
      </c>
      <c r="O25">
        <f ca="1">+C$11+C$12*$F25</f>
        <v>-2.7351490446535199E-4</v>
      </c>
      <c r="P25">
        <f ca="1">+D$11+D$12*$F25</f>
        <v>3.9642595830576395E-2</v>
      </c>
      <c r="Q25" s="2">
        <f>+C25-15018.5</f>
        <v>38322.199800000002</v>
      </c>
      <c r="S25">
        <f>G25</f>
        <v>2.9688499998883344E-2</v>
      </c>
    </row>
    <row r="26" spans="1:23" ht="12.95" customHeight="1" x14ac:dyDescent="0.2">
      <c r="A26" s="24" t="s">
        <v>46</v>
      </c>
      <c r="B26" s="25" t="s">
        <v>42</v>
      </c>
      <c r="C26" s="26">
        <v>54800.302000000003</v>
      </c>
      <c r="D26" s="26" t="s">
        <v>43</v>
      </c>
      <c r="E26" s="27">
        <f>+(C26-C$7)/C$8</f>
        <v>508.99930272715642</v>
      </c>
      <c r="F26">
        <f>ROUND(2*E26,0)/2</f>
        <v>509</v>
      </c>
      <c r="G26">
        <f>+C26-(C$7+F26*C$8)</f>
        <v>-2.6129999969271012E-3</v>
      </c>
      <c r="I26">
        <f>+G26</f>
        <v>-2.6129999969271012E-3</v>
      </c>
      <c r="O26">
        <f ca="1">+C$11+C$12*$F26</f>
        <v>-4.7575410734579306E-4</v>
      </c>
      <c r="P26">
        <f ca="1">+D$11+D$12*$F26</f>
        <v>3.8842471924808913E-2</v>
      </c>
      <c r="Q26" s="2">
        <f>+C26-15018.5</f>
        <v>39781.802000000003</v>
      </c>
      <c r="R26">
        <f>G26</f>
        <v>-2.6129999969271012E-3</v>
      </c>
    </row>
    <row r="27" spans="1:23" ht="12.95" customHeight="1" x14ac:dyDescent="0.2">
      <c r="A27" s="24" t="s">
        <v>46</v>
      </c>
      <c r="B27" s="25" t="s">
        <v>42</v>
      </c>
      <c r="C27" s="26">
        <v>54845.272400000002</v>
      </c>
      <c r="D27" s="26" t="s">
        <v>43</v>
      </c>
      <c r="E27" s="27">
        <f>+(C27-C$7)/C$8</f>
        <v>520.9995471595804</v>
      </c>
      <c r="F27">
        <f>ROUND(2*E27,0)/2</f>
        <v>521</v>
      </c>
      <c r="G27">
        <f>+C27-(C$7+F27*C$8)</f>
        <v>-1.6969999996945262E-3</v>
      </c>
      <c r="I27">
        <f>+G27</f>
        <v>-1.6969999996945262E-3</v>
      </c>
      <c r="O27">
        <f ca="1">+C$11+C$12*$F27</f>
        <v>-4.8198484016881047E-4</v>
      </c>
      <c r="P27">
        <f ca="1">+D$11+D$12*$F27</f>
        <v>3.8817821124117746E-2</v>
      </c>
      <c r="Q27" s="2">
        <f>+C27-15018.5</f>
        <v>39826.772400000002</v>
      </c>
      <c r="R27">
        <f>G27</f>
        <v>-1.6969999996945262E-3</v>
      </c>
    </row>
    <row r="28" spans="1:23" ht="12.95" customHeight="1" x14ac:dyDescent="0.2">
      <c r="A28" s="31" t="s">
        <v>47</v>
      </c>
      <c r="B28" s="32" t="s">
        <v>45</v>
      </c>
      <c r="C28" s="31">
        <v>55836.516049999998</v>
      </c>
      <c r="D28" s="31">
        <v>4.4999999999999999E-4</v>
      </c>
      <c r="E28">
        <f>+(C28-C$7)/C$8</f>
        <v>785.51056089502731</v>
      </c>
      <c r="F28">
        <f>ROUND(2*E28,0)/2</f>
        <v>785.5</v>
      </c>
      <c r="G28">
        <f>+C28-(C$7+F28*C$8)</f>
        <v>3.9576499999384396E-2</v>
      </c>
      <c r="K28">
        <f>+G28</f>
        <v>3.9576499999384396E-2</v>
      </c>
      <c r="O28">
        <f ca="1">+C$11+C$12*$F28</f>
        <v>-6.1932057614281989E-4</v>
      </c>
      <c r="P28">
        <f ca="1">+D$11+D$12*$F28</f>
        <v>3.8274476392216601E-2</v>
      </c>
      <c r="Q28" s="2">
        <f>+C28-15018.5</f>
        <v>40818.016049999998</v>
      </c>
      <c r="S28">
        <f>G28</f>
        <v>3.9576499999384396E-2</v>
      </c>
    </row>
    <row r="29" spans="1:23" ht="12.95" customHeight="1" x14ac:dyDescent="0.2">
      <c r="A29" s="31" t="s">
        <v>48</v>
      </c>
      <c r="B29" s="32" t="s">
        <v>42</v>
      </c>
      <c r="C29" s="31">
        <v>55845.852200000001</v>
      </c>
      <c r="D29" s="31">
        <v>5.0000000000000001E-4</v>
      </c>
      <c r="E29">
        <f>+(C29-C$7)/C$8</f>
        <v>788.00189034857488</v>
      </c>
      <c r="F29">
        <f>ROUND(2*E29,0)/2</f>
        <v>788</v>
      </c>
      <c r="G29">
        <f>+C29-(C$7+F29*C$8)</f>
        <v>7.0839999971212819E-3</v>
      </c>
      <c r="K29">
        <f>+G29</f>
        <v>7.0839999971212819E-3</v>
      </c>
      <c r="O29">
        <f ca="1">+C$11+C$12*$F29</f>
        <v>-6.206186454809485E-4</v>
      </c>
      <c r="P29">
        <f ca="1">+D$11+D$12*$F29</f>
        <v>3.8269340808739276E-2</v>
      </c>
      <c r="Q29" s="2">
        <f>+C29-15018.5</f>
        <v>40827.352200000001</v>
      </c>
      <c r="R29">
        <f>G29</f>
        <v>7.0839999971212819E-3</v>
      </c>
    </row>
    <row r="30" spans="1:23" ht="12.95" customHeight="1" x14ac:dyDescent="0.2">
      <c r="A30" s="31" t="s">
        <v>47</v>
      </c>
      <c r="B30" s="32" t="s">
        <v>42</v>
      </c>
      <c r="C30" s="31">
        <v>55868.327940000003</v>
      </c>
      <c r="D30" s="31">
        <v>2.5000000000000001E-4</v>
      </c>
      <c r="E30" s="27">
        <f>+(C30-C$7)/C$8</f>
        <v>793.99948818625569</v>
      </c>
      <c r="F30">
        <f>ROUND(2*E30,0)/2</f>
        <v>794</v>
      </c>
      <c r="G30">
        <f>+C30-(C$7+F30*C$8)</f>
        <v>-1.9180000017513521E-3</v>
      </c>
      <c r="K30">
        <f>+G30</f>
        <v>-1.9180000017513521E-3</v>
      </c>
      <c r="O30">
        <f ca="1">+C$11+C$12*$F30</f>
        <v>-6.2373401189245721E-4</v>
      </c>
      <c r="P30">
        <f ca="1">+D$11+D$12*$F30</f>
        <v>3.8257015408393692E-2</v>
      </c>
      <c r="Q30" s="2">
        <f>+C30-15018.5</f>
        <v>40849.827940000003</v>
      </c>
      <c r="R30">
        <f>G30</f>
        <v>-1.9180000017513521E-3</v>
      </c>
    </row>
    <row r="31" spans="1:23" ht="12.95" customHeight="1" x14ac:dyDescent="0.2">
      <c r="A31" s="31" t="s">
        <v>47</v>
      </c>
      <c r="B31" s="32" t="s">
        <v>42</v>
      </c>
      <c r="C31" s="31">
        <v>55879.570350000002</v>
      </c>
      <c r="D31" s="31">
        <v>5.9999999999999995E-4</v>
      </c>
      <c r="E31" s="27">
        <f>+(C31-C$7)/C$8</f>
        <v>796.99949859331275</v>
      </c>
      <c r="F31">
        <f>ROUND(2*E31,0)/2</f>
        <v>797</v>
      </c>
      <c r="G31">
        <f>+C31-(C$7+F31*C$8)</f>
        <v>-1.8790000031003729E-3</v>
      </c>
      <c r="K31">
        <f>+G31</f>
        <v>-1.8790000031003729E-3</v>
      </c>
      <c r="O31">
        <f ca="1">+C$11+C$12*$F31</f>
        <v>-6.2529169509821156E-4</v>
      </c>
      <c r="P31">
        <f ca="1">+D$11+D$12*$F31</f>
        <v>3.82508527082209E-2</v>
      </c>
      <c r="Q31" s="2">
        <f>+C31-15018.5</f>
        <v>40861.070350000002</v>
      </c>
      <c r="R31">
        <f>G31</f>
        <v>-1.8790000031003729E-3</v>
      </c>
    </row>
    <row r="32" spans="1:23" ht="12.95" customHeight="1" x14ac:dyDescent="0.2">
      <c r="A32" s="33" t="s">
        <v>49</v>
      </c>
      <c r="B32" s="34" t="s">
        <v>42</v>
      </c>
      <c r="C32" s="35">
        <v>55898.307099999998</v>
      </c>
      <c r="D32" s="35">
        <v>2.9999999999999997E-4</v>
      </c>
      <c r="E32" s="27">
        <f>+(C32-C$7)/C$8</f>
        <v>801.99935582983244</v>
      </c>
      <c r="F32">
        <f>ROUND(2*E32,0)/2</f>
        <v>802</v>
      </c>
      <c r="G32">
        <f>+C32-(C$7+F32*C$8)</f>
        <v>-2.4140000023180619E-3</v>
      </c>
      <c r="K32">
        <f>+G32</f>
        <v>-2.4140000023180619E-3</v>
      </c>
      <c r="O32">
        <f ca="1">+C$11+C$12*$F32</f>
        <v>-6.2788783377446889E-4</v>
      </c>
      <c r="P32">
        <f ca="1">+D$11+D$12*$F32</f>
        <v>3.8240581541266243E-2</v>
      </c>
      <c r="Q32" s="2">
        <f>+C32-15018.5</f>
        <v>40879.807099999998</v>
      </c>
      <c r="R32">
        <f>G32</f>
        <v>-2.4140000023180619E-3</v>
      </c>
    </row>
    <row r="33" spans="1:19" ht="12.95" customHeight="1" x14ac:dyDescent="0.2">
      <c r="A33" s="36" t="s">
        <v>50</v>
      </c>
      <c r="B33" s="37" t="s">
        <v>42</v>
      </c>
      <c r="C33" s="36">
        <v>56670.283770000002</v>
      </c>
      <c r="D33" s="36">
        <v>9.0000000000000006E-5</v>
      </c>
      <c r="E33" s="27">
        <f>+(C33-C$7)/C$8</f>
        <v>1007.9994967253793</v>
      </c>
      <c r="F33">
        <f>ROUND(2*E33,0)/2</f>
        <v>1008</v>
      </c>
      <c r="G33">
        <f>+C33-(C$7+F33*C$8)</f>
        <v>-1.8859999981941655E-3</v>
      </c>
      <c r="K33">
        <f>+G33</f>
        <v>-1.8859999981941655E-3</v>
      </c>
      <c r="O33">
        <f ca="1">+C$11+C$12*$F33</f>
        <v>-7.3484874723626827E-4</v>
      </c>
      <c r="P33">
        <f ca="1">+D$11+D$12*$F33</f>
        <v>3.7817409462734534E-2</v>
      </c>
      <c r="Q33" s="2">
        <f>+C33-15018.5</f>
        <v>41651.783770000002</v>
      </c>
      <c r="R33">
        <f>G33</f>
        <v>-1.8859999981941655E-3</v>
      </c>
    </row>
    <row r="34" spans="1:19" ht="12.95" customHeight="1" x14ac:dyDescent="0.2">
      <c r="A34" s="38" t="s">
        <v>51</v>
      </c>
      <c r="B34" s="39" t="s">
        <v>45</v>
      </c>
      <c r="C34" s="40">
        <v>57357.983999999997</v>
      </c>
      <c r="D34" s="40">
        <v>2.0000000000000001E-4</v>
      </c>
      <c r="E34" s="27">
        <f>+(C34-C$7)/C$8</f>
        <v>1191.510669768858</v>
      </c>
      <c r="F34">
        <f>ROUND(2*E34,0)/2</f>
        <v>1191.5</v>
      </c>
      <c r="G34">
        <f>+C34-(C$7+F34*C$8)</f>
        <v>3.9984499991987832E-2</v>
      </c>
      <c r="K34">
        <f>+G34</f>
        <v>3.9984499991987832E-2</v>
      </c>
      <c r="O34">
        <f ca="1">+C$11+C$12*$F34</f>
        <v>-8.3012703665490996E-4</v>
      </c>
      <c r="P34">
        <f ca="1">+D$11+D$12*$F34</f>
        <v>3.7440457635498768E-2</v>
      </c>
      <c r="Q34" s="2">
        <f>+C34-15018.5</f>
        <v>42339.483999999997</v>
      </c>
      <c r="S34">
        <f>G34</f>
        <v>3.9984499991987832E-2</v>
      </c>
    </row>
    <row r="35" spans="1:19" ht="12.95" customHeight="1" x14ac:dyDescent="0.2">
      <c r="A35" s="38" t="s">
        <v>52</v>
      </c>
      <c r="B35" s="39" t="s">
        <v>42</v>
      </c>
      <c r="C35" s="40">
        <v>57397.291899999997</v>
      </c>
      <c r="D35" s="40">
        <v>4.0000000000000001E-3</v>
      </c>
      <c r="E35" s="27">
        <f>+(C35-C$7)/C$8</f>
        <v>1201.9998895250819</v>
      </c>
      <c r="F35">
        <f>ROUND(2*E35,0)/2</f>
        <v>1202</v>
      </c>
      <c r="G35">
        <f>+C35-(C$7+F35*C$8)</f>
        <v>-4.1400000918656588E-4</v>
      </c>
      <c r="K35">
        <f>+G35</f>
        <v>-4.1400000918656588E-4</v>
      </c>
      <c r="O35">
        <f ca="1">+C$11+C$12*$F35</f>
        <v>-8.3557892787505025E-4</v>
      </c>
      <c r="P35">
        <f ca="1">+D$11+D$12*$F35</f>
        <v>3.7418888184894E-2</v>
      </c>
      <c r="Q35" s="2">
        <f>+C35-15018.5</f>
        <v>42378.791899999997</v>
      </c>
      <c r="R35">
        <f>G35</f>
        <v>-4.1400000918656588E-4</v>
      </c>
    </row>
  </sheetData>
  <sortState xmlns:xlrd2="http://schemas.microsoft.com/office/spreadsheetml/2017/richdata2" ref="A21:Z35">
    <sortCondition ref="C21:C35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2024-07-24T05:28:04Z</dcterms:modified>
</cp:coreProperties>
</file>