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D21D2EF-728A-473B-9A75-B62AC52593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H21" i="1" s="1"/>
  <c r="Q21" i="1"/>
  <c r="F14" i="1"/>
  <c r="E22" i="1"/>
  <c r="F22" i="1" s="1"/>
  <c r="G22" i="1" s="1"/>
  <c r="I22" i="1" s="1"/>
  <c r="E23" i="1"/>
  <c r="F23" i="1" s="1"/>
  <c r="G23" i="1" s="1"/>
  <c r="I23" i="1" s="1"/>
  <c r="E24" i="1"/>
  <c r="F24" i="1" s="1"/>
  <c r="G24" i="1" s="1"/>
  <c r="I24" i="1" s="1"/>
  <c r="G11" i="1"/>
  <c r="F11" i="1"/>
  <c r="Q22" i="1"/>
  <c r="Q23" i="1"/>
  <c r="Q24" i="1"/>
  <c r="C17" i="1"/>
  <c r="C12" i="1"/>
  <c r="F15" i="1" l="1"/>
  <c r="C16" i="1"/>
  <c r="D18" i="1" s="1"/>
  <c r="C11" i="1"/>
  <c r="O21" i="1" l="1"/>
  <c r="S21" i="1" s="1"/>
  <c r="O24" i="1"/>
  <c r="S24" i="1" s="1"/>
  <c r="C15" i="1"/>
  <c r="O23" i="1"/>
  <c r="S23" i="1" s="1"/>
  <c r="O22" i="1"/>
  <c r="S22" i="1" s="1"/>
  <c r="F16" i="1" l="1"/>
  <c r="F17" i="1" s="1"/>
  <c r="C18" i="1"/>
  <c r="S19" i="1"/>
  <c r="F18" i="1" l="1"/>
</calcChain>
</file>

<file path=xl/sharedStrings.xml><?xml version="1.0" encoding="utf-8"?>
<sst xmlns="http://schemas.openxmlformats.org/spreadsheetml/2006/main" count="63" uniqueCount="57">
  <si>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</si>
  <si>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</si>
  <si>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</si>
  <si>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</si>
  <si>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</si>
  <si>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</si>
  <si>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</si>
  <si>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</si>
  <si>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</si>
  <si>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</si>
  <si>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</si>
  <si>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</si>
  <si>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</si>
  <si>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</si>
  <si>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</si>
  <si>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</si>
  <si>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</si>
  <si>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</si>
  <si>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</si>
  <si>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</si>
  <si>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</si>
  <si>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</si>
  <si>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</si>
  <si>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</si>
  <si>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</si>
  <si>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</si>
  <si>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</si>
  <si>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</si>
  <si>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</si>
  <si>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</si>
  <si>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</si>
  <si>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</si>
  <si>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</si>
  <si>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</si>
  <si>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</si>
  <si>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</si>
  <si>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</si>
  <si>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</si>
  <si>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</si>
  <si>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</si>
  <si>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G1209-1201</t>
  </si>
  <si>
    <t>G1209-1201_Ari.xls</t>
  </si>
  <si>
    <t>Ari</t>
  </si>
  <si>
    <t>BRNO</t>
  </si>
  <si>
    <t>IBVS 5920</t>
  </si>
  <si>
    <t>I</t>
  </si>
  <si>
    <t>IBVS 5960</t>
  </si>
  <si>
    <t>IBVS 6011</t>
  </si>
  <si>
    <t>II</t>
  </si>
  <si>
    <t>CCD</t>
  </si>
  <si>
    <t xml:space="preserve">Mag </t>
  </si>
  <si>
    <t>Next ToM-P</t>
  </si>
  <si>
    <t>Next ToM-S</t>
  </si>
  <si>
    <t>CM Ari / GSC 1209-1201</t>
  </si>
  <si>
    <t>VSX</t>
  </si>
  <si>
    <t>12.60-13.30</t>
  </si>
  <si>
    <t>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</si>
</sst>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6" fillId="3" borderId="8" xfId="0" applyFont="1" applyFill="1" applyBorder="1" applyAlignment="1">
      <alignment horizontal="right" vertical="center"/>
    </xf>
    <xf numFmtId="0" fontId="16" fillId="3" borderId="9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right" vertical="center"/>
    </xf>
    <xf numFmtId="0" fontId="19" fillId="0" borderId="11" xfId="0" applyFont="1" applyBorder="1" applyAlignment="1">
      <alignment horizontal="right" vertical="center"/>
    </xf>
    <xf numFmtId="0" fontId="18" fillId="0" borderId="11" xfId="0" applyFont="1" applyBorder="1" applyAlignment="1">
      <alignment horizontal="right" vertical="center"/>
    </xf>
    <xf numFmtId="22" fontId="17" fillId="0" borderId="10" xfId="0" applyNumberFormat="1" applyFont="1" applyBorder="1" applyAlignment="1">
      <alignment horizontal="right" vertical="center"/>
    </xf>
    <xf numFmtId="22" fontId="18" fillId="0" borderId="11" xfId="0" applyNumberFormat="1" applyFont="1" applyBorder="1" applyAlignment="1">
      <alignment horizontal="right" vertical="center"/>
    </xf>
    <xf numFmtId="22" fontId="18" fillId="0" borderId="12" xfId="0" applyNumberFormat="1" applyFont="1" applyBorder="1" applyAlignment="1">
      <alignment horizontal="right" vertical="center"/>
    </xf>
    <xf numFmtId="0" fontId="17" fillId="0" borderId="13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CM Ari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5085</c:v>
                </c:pt>
                <c:pt idx="2">
                  <c:v>6096</c:v>
                </c:pt>
                <c:pt idx="3">
                  <c:v>7351.5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E3-4D9E-927B-55DAC82F1C5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5085</c:v>
                </c:pt>
                <c:pt idx="2">
                  <c:v>6096</c:v>
                </c:pt>
                <c:pt idx="3">
                  <c:v>7351.5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4.58999999682419E-3</c:v>
                </c:pt>
                <c:pt idx="2">
                  <c:v>6.3440000012633391E-3</c:v>
                </c:pt>
                <c:pt idx="3">
                  <c:v>9.5709999950486235E-3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E3-4D9E-927B-55DAC82F1C5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5085</c:v>
                </c:pt>
                <c:pt idx="2">
                  <c:v>6096</c:v>
                </c:pt>
                <c:pt idx="3">
                  <c:v>7351.5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5E3-4D9E-927B-55DAC82F1C5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5085</c:v>
                </c:pt>
                <c:pt idx="2">
                  <c:v>6096</c:v>
                </c:pt>
                <c:pt idx="3">
                  <c:v>7351.5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5E3-4D9E-927B-55DAC82F1C5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5085</c:v>
                </c:pt>
                <c:pt idx="2">
                  <c:v>6096</c:v>
                </c:pt>
                <c:pt idx="3">
                  <c:v>7351.5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5E3-4D9E-927B-55DAC82F1C5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5085</c:v>
                </c:pt>
                <c:pt idx="2">
                  <c:v>6096</c:v>
                </c:pt>
                <c:pt idx="3">
                  <c:v>7351.5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5E3-4D9E-927B-55DAC82F1C5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5085</c:v>
                </c:pt>
                <c:pt idx="2">
                  <c:v>6096</c:v>
                </c:pt>
                <c:pt idx="3">
                  <c:v>7351.5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5E3-4D9E-927B-55DAC82F1C5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5085</c:v>
                </c:pt>
                <c:pt idx="2">
                  <c:v>6096</c:v>
                </c:pt>
                <c:pt idx="3">
                  <c:v>7351.5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-4.2349519628310552E-4</c:v>
                </c:pt>
                <c:pt idx="1">
                  <c:v>5.667524215965415E-3</c:v>
                </c:pt>
                <c:pt idx="2">
                  <c:v>6.8785410548608435E-3</c:v>
                </c:pt>
                <c:pt idx="3">
                  <c:v>8.3824299185930005E-3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5E3-4D9E-927B-55DAC82F1C5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5085</c:v>
                </c:pt>
                <c:pt idx="2">
                  <c:v>6096</c:v>
                </c:pt>
                <c:pt idx="3">
                  <c:v>7351.5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5E3-4D9E-927B-55DAC82F1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8704584"/>
        <c:axId val="1"/>
      </c:scatterChart>
      <c:valAx>
        <c:axId val="778704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87045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75366568914952"/>
          <c:w val="0.7203007518796991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47625</xdr:rowOff>
    </xdr:from>
    <xdr:to>
      <xdr:col>18</xdr:col>
      <xdr:colOff>571500</xdr:colOff>
      <xdr:row>18</xdr:row>
      <xdr:rowOff>47625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BD9E38E-B05C-A20C-BB50-D80BD6FA69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4" sqref="F4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28515625" customWidth="1"/>
    <col min="6" max="6" width="15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53</v>
      </c>
      <c r="E1" t="s">
        <v>41</v>
      </c>
    </row>
    <row r="2" spans="1:7" ht="12.95" customHeight="1" x14ac:dyDescent="0.2">
      <c r="A2" t="s">
        <v>24</v>
      </c>
      <c r="B2" s="31" t="s">
        <v>56</v>
      </c>
      <c r="C2" s="27" t="s">
        <v>39</v>
      </c>
      <c r="D2" s="3" t="s">
        <v>42</v>
      </c>
      <c r="E2" s="28" t="s">
        <v>40</v>
      </c>
      <c r="F2" t="s">
        <v>13</v>
      </c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25" t="s">
        <v>38</v>
      </c>
      <c r="D4" s="26" t="s">
        <v>38</v>
      </c>
    </row>
    <row r="5" spans="1:7" ht="12.95" customHeight="1" x14ac:dyDescent="0.2"/>
    <row r="6" spans="1:7" ht="12.95" customHeight="1" x14ac:dyDescent="0.2">
      <c r="A6" s="5" t="s">
        <v>1</v>
      </c>
      <c r="E6" s="34" t="s">
        <v>43</v>
      </c>
    </row>
    <row r="7" spans="1:7" ht="12.95" customHeight="1" x14ac:dyDescent="0.2">
      <c r="A7" t="s">
        <v>2</v>
      </c>
      <c r="C7" s="32">
        <v>53329.629000000001</v>
      </c>
      <c r="D7" s="33" t="s">
        <v>54</v>
      </c>
      <c r="E7" s="35">
        <v>55469.855600000003</v>
      </c>
    </row>
    <row r="8" spans="1:7" ht="12.95" customHeight="1" x14ac:dyDescent="0.2">
      <c r="A8" t="s">
        <v>3</v>
      </c>
      <c r="C8" s="32">
        <v>0.35108600000000001</v>
      </c>
      <c r="D8" s="33" t="s">
        <v>54</v>
      </c>
      <c r="E8" s="36">
        <v>0.35108600000000001</v>
      </c>
    </row>
    <row r="9" spans="1:7" ht="12.95" customHeight="1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2.95" customHeight="1" thickBot="1" x14ac:dyDescent="0.25">
      <c r="A10" s="10"/>
      <c r="B10" s="10"/>
      <c r="C10" s="4" t="s">
        <v>20</v>
      </c>
      <c r="D10" s="4" t="s">
        <v>21</v>
      </c>
      <c r="E10" s="10"/>
    </row>
    <row r="11" spans="1:7" ht="12.95" customHeight="1" x14ac:dyDescent="0.2">
      <c r="A11" s="10" t="s">
        <v>15</v>
      </c>
      <c r="B11" s="10"/>
      <c r="C11" s="19">
        <f ca="1">INTERCEPT(INDIRECT($G$11):G991,INDIRECT($F$11):F991)</f>
        <v>-4.2349519628310552E-4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ht="12.95" customHeight="1" x14ac:dyDescent="0.2">
      <c r="A12" s="10" t="s">
        <v>16</v>
      </c>
      <c r="B12" s="10"/>
      <c r="C12" s="19">
        <f ca="1">SLOPE(INDIRECT($G$11):G991,INDIRECT($F$11):F991)</f>
        <v>1.1978405923792567E-6</v>
      </c>
      <c r="D12" s="3"/>
      <c r="E12" s="37" t="s">
        <v>50</v>
      </c>
      <c r="F12" s="38" t="s">
        <v>55</v>
      </c>
    </row>
    <row r="13" spans="1:7" ht="12.95" customHeight="1" x14ac:dyDescent="0.2">
      <c r="A13" s="10" t="s">
        <v>19</v>
      </c>
      <c r="B13" s="10"/>
      <c r="C13" s="3" t="s">
        <v>13</v>
      </c>
      <c r="D13" s="14"/>
      <c r="E13" s="39" t="s">
        <v>35</v>
      </c>
      <c r="F13" s="40">
        <v>1</v>
      </c>
    </row>
    <row r="14" spans="1:7" ht="12.95" customHeight="1" x14ac:dyDescent="0.2">
      <c r="A14" s="10"/>
      <c r="B14" s="10"/>
      <c r="C14" s="10"/>
      <c r="D14" s="14"/>
      <c r="E14" s="39" t="s">
        <v>32</v>
      </c>
      <c r="F14" s="41">
        <f ca="1">NOW()+15018.5+$C$9/24</f>
        <v>60515.791706018514</v>
      </c>
    </row>
    <row r="15" spans="1:7" ht="12.95" customHeight="1" x14ac:dyDescent="0.2">
      <c r="A15" s="12" t="s">
        <v>17</v>
      </c>
      <c r="B15" s="10"/>
      <c r="C15" s="13">
        <f ca="1">(C7+C11)+(C8+C12)*INT(MAX(F21:F3532))</f>
        <v>55910.470567830998</v>
      </c>
      <c r="D15" s="14"/>
      <c r="E15" s="39" t="s">
        <v>36</v>
      </c>
      <c r="F15" s="41">
        <f ca="1">ROUND(2*($F$14-$C$7)/$C$8,0)/2+$F$13</f>
        <v>20469.5</v>
      </c>
    </row>
    <row r="16" spans="1:7" ht="12.95" customHeight="1" x14ac:dyDescent="0.2">
      <c r="A16" s="15" t="s">
        <v>4</v>
      </c>
      <c r="B16" s="10"/>
      <c r="C16" s="16">
        <f ca="1">+C8+C12</f>
        <v>0.35108719784059239</v>
      </c>
      <c r="D16" s="14"/>
      <c r="E16" s="39" t="s">
        <v>37</v>
      </c>
      <c r="F16" s="41">
        <f ca="1">ROUND(2*($F$14-$C$15)/$C$16,0)/2+$F$13</f>
        <v>13118.5</v>
      </c>
    </row>
    <row r="17" spans="1:19" ht="12.95" customHeight="1" thickBot="1" x14ac:dyDescent="0.25">
      <c r="A17" s="14" t="s">
        <v>29</v>
      </c>
      <c r="B17" s="10"/>
      <c r="C17" s="10">
        <f>COUNT(C21:C2190)</f>
        <v>4</v>
      </c>
      <c r="D17" s="14"/>
      <c r="E17" s="42" t="s">
        <v>51</v>
      </c>
      <c r="F17" s="43">
        <f ca="1">+$C$15+$C$16*$F$16-15018.5-$C$9/24</f>
        <v>45498.103806036146</v>
      </c>
    </row>
    <row r="18" spans="1:19" ht="12.95" customHeight="1" thickTop="1" thickBot="1" x14ac:dyDescent="0.25">
      <c r="A18" s="15" t="s">
        <v>5</v>
      </c>
      <c r="B18" s="10"/>
      <c r="C18" s="17">
        <f ca="1">+C15</f>
        <v>55910.470567830998</v>
      </c>
      <c r="D18" s="18">
        <f ca="1">+C16</f>
        <v>0.35108719784059239</v>
      </c>
      <c r="E18" s="45" t="s">
        <v>52</v>
      </c>
      <c r="F18" s="44">
        <f ca="1">+($C$15+$C$16*$F$16)-($C$16/2)-15018.5-$C$9/24</f>
        <v>45497.928262437228</v>
      </c>
    </row>
    <row r="19" spans="1:19" ht="12.95" customHeight="1" thickTop="1" x14ac:dyDescent="0.2">
      <c r="A19" s="22" t="s">
        <v>33</v>
      </c>
      <c r="E19" s="23">
        <v>21</v>
      </c>
      <c r="S19">
        <f ca="1">SQRT(SUM(S21:S49)/(COUNT(S21:S49)-1))</f>
        <v>1.0064524477486302E-3</v>
      </c>
    </row>
    <row r="20" spans="1:19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54</v>
      </c>
      <c r="I20" s="7" t="s">
        <v>49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4" t="s">
        <v>34</v>
      </c>
    </row>
    <row r="21" spans="1:19" ht="12.95" customHeight="1" x14ac:dyDescent="0.2">
      <c r="A21" s="29" t="s">
        <v>54</v>
      </c>
      <c r="C21" s="8">
        <v>53329.629000000001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-4.2349519628310552E-4</v>
      </c>
      <c r="Q21" s="2">
        <f>+C21-15018.5</f>
        <v>38311.129000000001</v>
      </c>
      <c r="S21">
        <f ca="1">+(O21-G21)^2</f>
        <v>1.7934818127486608E-7</v>
      </c>
    </row>
    <row r="22" spans="1:19" ht="12.95" customHeight="1" x14ac:dyDescent="0.2">
      <c r="A22" s="29" t="s">
        <v>44</v>
      </c>
      <c r="B22" s="30" t="s">
        <v>45</v>
      </c>
      <c r="C22" s="29">
        <v>55114.905899999998</v>
      </c>
      <c r="D22" s="29">
        <v>2.9999999999999997E-4</v>
      </c>
      <c r="E22">
        <f>+(C22-C$7)/C$8</f>
        <v>5085.0130737198206</v>
      </c>
      <c r="F22">
        <f>ROUND(2*E22,0)/2</f>
        <v>5085</v>
      </c>
      <c r="G22">
        <f>+C22-(C$7+F22*C$8)</f>
        <v>4.58999999682419E-3</v>
      </c>
      <c r="I22">
        <f>+G22</f>
        <v>4.58999999682419E-3</v>
      </c>
      <c r="O22">
        <f ca="1">+C$11+C$12*$F22</f>
        <v>5.667524215965415E-3</v>
      </c>
      <c r="Q22" s="2">
        <f>+C22-15018.5</f>
        <v>40096.405899999998</v>
      </c>
      <c r="S22">
        <f ca="1">+(O22-G22)^2</f>
        <v>1.1610584428359065E-6</v>
      </c>
    </row>
    <row r="23" spans="1:19" ht="12.95" customHeight="1" x14ac:dyDescent="0.2">
      <c r="A23" s="29" t="s">
        <v>46</v>
      </c>
      <c r="B23" s="30" t="s">
        <v>45</v>
      </c>
      <c r="C23" s="29">
        <v>55469.855600000003</v>
      </c>
      <c r="D23" s="29">
        <v>2.0000000000000001E-4</v>
      </c>
      <c r="E23">
        <f>+(C23-C$7)/C$8</f>
        <v>6096.0180696467578</v>
      </c>
      <c r="F23">
        <f>ROUND(2*E23,0)/2</f>
        <v>6096</v>
      </c>
      <c r="G23">
        <f>+C23-(C$7+F23*C$8)</f>
        <v>6.3440000012633391E-3</v>
      </c>
      <c r="I23">
        <f>+G23</f>
        <v>6.3440000012633391E-3</v>
      </c>
      <c r="O23">
        <f ca="1">+C$11+C$12*$F23</f>
        <v>6.8785410548608435E-3</v>
      </c>
      <c r="Q23" s="2">
        <f>+C23-15018.5</f>
        <v>40451.355600000003</v>
      </c>
      <c r="S23">
        <f ca="1">+(O23-G23)^2</f>
        <v>2.8573413798113005E-7</v>
      </c>
    </row>
    <row r="24" spans="1:19" ht="12.95" customHeight="1" x14ac:dyDescent="0.2">
      <c r="A24" s="29" t="s">
        <v>47</v>
      </c>
      <c r="B24" s="30" t="s">
        <v>48</v>
      </c>
      <c r="C24" s="29">
        <v>55910.647299999997</v>
      </c>
      <c r="D24" s="29">
        <v>4.0000000000000002E-4</v>
      </c>
      <c r="E24">
        <f>+(C24-C$7)/C$8</f>
        <v>7351.527261126892</v>
      </c>
      <c r="F24">
        <f>ROUND(2*E24,0)/2</f>
        <v>7351.5</v>
      </c>
      <c r="G24">
        <f>+C24-(C$7+F24*C$8)</f>
        <v>9.5709999950486235E-3</v>
      </c>
      <c r="I24">
        <f>+G24</f>
        <v>9.5709999950486235E-3</v>
      </c>
      <c r="O24">
        <f ca="1">+C$11+C$12*$F24</f>
        <v>8.3824299185930005E-3</v>
      </c>
      <c r="Q24" s="2">
        <f>+C24-15018.5</f>
        <v>40892.147299999997</v>
      </c>
      <c r="S24">
        <f ca="1">+(O24-G24)^2</f>
        <v>1.4126988266457254E-6</v>
      </c>
    </row>
    <row r="25" spans="1:19" ht="12.95" customHeight="1" x14ac:dyDescent="0.2">
      <c r="C25" s="8"/>
      <c r="D25" s="8"/>
      <c r="Q25" s="2"/>
    </row>
    <row r="26" spans="1:19" ht="12.95" customHeight="1" x14ac:dyDescent="0.2">
      <c r="C26" s="8"/>
      <c r="D26" s="8"/>
      <c r="Q26" s="2"/>
    </row>
    <row r="27" spans="1:19" ht="12.95" customHeight="1" x14ac:dyDescent="0.2">
      <c r="C27" s="8"/>
      <c r="D27" s="8"/>
      <c r="Q27" s="2"/>
    </row>
    <row r="28" spans="1:19" ht="12.95" customHeight="1" x14ac:dyDescent="0.2">
      <c r="C28" s="8"/>
      <c r="D28" s="8"/>
      <c r="Q28" s="2"/>
    </row>
    <row r="29" spans="1:19" ht="12.95" customHeight="1" x14ac:dyDescent="0.2">
      <c r="C29" s="8"/>
      <c r="D29" s="8"/>
      <c r="Q29" s="2"/>
    </row>
    <row r="30" spans="1:19" ht="12.95" customHeight="1" x14ac:dyDescent="0.2">
      <c r="C30" s="8"/>
      <c r="D30" s="8"/>
      <c r="Q30" s="2"/>
    </row>
    <row r="31" spans="1:19" ht="12.95" customHeight="1" x14ac:dyDescent="0.2">
      <c r="C31" s="8"/>
      <c r="D31" s="8"/>
      <c r="Q31" s="2"/>
    </row>
    <row r="32" spans="1:19" ht="12.95" customHeight="1" x14ac:dyDescent="0.2">
      <c r="C32" s="8"/>
      <c r="D32" s="8"/>
      <c r="Q32" s="2"/>
    </row>
    <row r="33" spans="3:4" ht="12.95" customHeight="1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sortState xmlns:xlrd2="http://schemas.microsoft.com/office/spreadsheetml/2017/richdata2" ref="A21:V30">
    <sortCondition ref="C21:C30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2024-07-24T07:00:03Z</dcterms:modified>
</cp:coreProperties>
</file>