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0D2CA52-12DB-4953-A846-8EA7F5598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G11" i="1"/>
  <c r="F11" i="1"/>
  <c r="Q22" i="1"/>
  <c r="Q23" i="1"/>
  <c r="Q24" i="1"/>
  <c r="C17" i="1"/>
  <c r="C11" i="1"/>
  <c r="F15" i="1" l="1"/>
  <c r="C12" i="1"/>
  <c r="O21" i="1" l="1"/>
  <c r="S21" i="1" s="1"/>
  <c r="C16" i="1"/>
  <c r="D18" i="1" s="1"/>
  <c r="O23" i="1"/>
  <c r="S23" i="1" s="1"/>
  <c r="O24" i="1"/>
  <c r="S24" i="1" s="1"/>
  <c r="C15" i="1"/>
  <c r="O22" i="1"/>
  <c r="S22" i="1" s="1"/>
  <c r="S19" i="1" l="1"/>
  <c r="F16" i="1"/>
  <c r="F18" i="1" s="1"/>
  <c r="C18" i="1"/>
  <c r="F17" i="1" l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<sst xmlns="http://schemas.openxmlformats.org/spreadsheetml/2006/main" count="62" uniqueCount="56">
  <si>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</si>
  <si>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</si>
  <si>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</si>
  <si>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</si>
  <si>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</si>
  <si>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</si>
  <si>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</si>
  <si>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</si>
  <si>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</si>
  <si>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</si>
  <si>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</si>
  <si>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</si>
  <si>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</si>
  <si>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</si>
  <si>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</si>
  <si>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</si>
  <si>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</si>
  <si>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</si>
  <si>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</si>
  <si>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</si>
  <si>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</si>
  <si>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</si>
  <si>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</si>
  <si>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</si>
  <si>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</si>
  <si>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</si>
  <si>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</si>
  <si>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</si>
  <si>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</si>
  <si>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</si>
  <si>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</si>
  <si>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</si>
  <si>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</si>
  <si>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</si>
  <si>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</si>
  <si>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</si>
  <si>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</si>
  <si>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</si>
  <si>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</si>
  <si>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</si>
  <si>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G0645-0085</t>
  </si>
  <si>
    <t>G0645-0085_Ari.xls</t>
  </si>
  <si>
    <t>Ari</t>
  </si>
  <si>
    <t>IBVS 5960</t>
  </si>
  <si>
    <t>I</t>
  </si>
  <si>
    <t>IBVS 6011</t>
  </si>
  <si>
    <t>IBVS 6042</t>
  </si>
  <si>
    <t>II</t>
  </si>
  <si>
    <t>CCD</t>
  </si>
  <si>
    <t>CZ Ari / GSC 0645-0085</t>
  </si>
  <si>
    <t xml:space="preserve">Mag </t>
  </si>
  <si>
    <t>Next ToM-P</t>
  </si>
  <si>
    <t>Next ToM-S</t>
  </si>
  <si>
    <t>13.10-13.85</t>
  </si>
  <si>
    <t>VSX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</si>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</sst>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3" borderId="5" xfId="0" applyFont="1" applyFill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19" fillId="0" borderId="7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3F-4F3F-9983-1629684543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7.4600000007194467E-3</c:v>
                </c:pt>
                <c:pt idx="2">
                  <c:v>8.2600000023376197E-3</c:v>
                </c:pt>
                <c:pt idx="3">
                  <c:v>4.0500000031897798E-3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3F-4F3F-9983-1629684543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3F-4F3F-9983-1629684543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3F-4F3F-9983-1629684543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3F-4F3F-9983-1629684543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3F-4F3F-9983-1629684543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3F-4F3F-9983-1629684543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1.2893943443378839E-3</c:v>
                </c:pt>
                <c:pt idx="1">
                  <c:v>5.0933075843420418E-3</c:v>
                </c:pt>
                <c:pt idx="2">
                  <c:v>6.1035578000631346E-3</c:v>
                </c:pt>
                <c:pt idx="3">
                  <c:v>7.2837402775037859E-3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3F-4F3F-9983-1629684543C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3257</c:v>
                </c:pt>
                <c:pt idx="2">
                  <c:v>4122</c:v>
                </c:pt>
                <c:pt idx="3">
                  <c:v>5132.5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3F-4F3F-9983-16296845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9904"/>
        <c:axId val="1"/>
      </c:scatterChart>
      <c:valAx>
        <c:axId val="77869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9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17</xdr:col>
      <xdr:colOff>123825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0B5EC78-EB93-2683-91EF-3494641B1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41</v>
      </c>
    </row>
    <row r="2" spans="1:7" ht="12.95" customHeight="1" x14ac:dyDescent="0.2">
      <c r="A2" t="s">
        <v>24</v>
      </c>
      <c r="B2" s="45" t="s">
        <v>55</v>
      </c>
      <c r="C2" s="28" t="s">
        <v>39</v>
      </c>
      <c r="D2" s="3" t="s">
        <v>42</v>
      </c>
      <c r="E2" s="29" t="s">
        <v>40</v>
      </c>
      <c r="F2" t="s">
        <v>40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38</v>
      </c>
      <c r="D4" s="26" t="s">
        <v>38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54387.697</v>
      </c>
      <c r="D7" s="27" t="s">
        <v>54</v>
      </c>
    </row>
    <row r="8" spans="1:7" ht="12.95" customHeight="1" x14ac:dyDescent="0.2">
      <c r="A8" t="s">
        <v>3</v>
      </c>
      <c r="C8" s="35">
        <v>0.35521999999999998</v>
      </c>
      <c r="D8" s="27" t="s">
        <v>54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INTERCEPT(INDIRECT($G$11):G991,INDIRECT($F$11):F991)</f>
        <v>1.2893943443378839E-3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SLOPE(INDIRECT($G$11):G991,INDIRECT($F$11):F991)</f>
        <v>1.1679193245330544E-6</v>
      </c>
      <c r="D12" s="3"/>
      <c r="E12" s="36" t="s">
        <v>50</v>
      </c>
      <c r="F12" s="44" t="s">
        <v>53</v>
      </c>
    </row>
    <row r="13" spans="1:7" ht="12.95" customHeight="1" x14ac:dyDescent="0.2">
      <c r="A13" s="10" t="s">
        <v>19</v>
      </c>
      <c r="B13" s="10"/>
      <c r="C13" s="3" t="s">
        <v>13</v>
      </c>
      <c r="D13" s="14"/>
      <c r="E13" s="37" t="s">
        <v>35</v>
      </c>
      <c r="F13" s="38">
        <v>1</v>
      </c>
    </row>
    <row r="14" spans="1:7" ht="12.95" customHeight="1" x14ac:dyDescent="0.2">
      <c r="A14" s="10"/>
      <c r="B14" s="10"/>
      <c r="C14" s="10"/>
      <c r="D14" s="14"/>
      <c r="E14" s="37" t="s">
        <v>32</v>
      </c>
      <c r="F14" s="39">
        <f ca="1">NOW()+15018.5+$C$9/24</f>
        <v>60515.805215740736</v>
      </c>
    </row>
    <row r="15" spans="1:7" ht="12.95" customHeight="1" x14ac:dyDescent="0.2">
      <c r="A15" s="12" t="s">
        <v>17</v>
      </c>
      <c r="B15" s="10"/>
      <c r="C15" s="13">
        <f ca="1">(C7+C11)+(C8+C12)*INT(MAX(F21:F3532))</f>
        <v>56210.693323156316</v>
      </c>
      <c r="D15" s="14"/>
      <c r="E15" s="37" t="s">
        <v>36</v>
      </c>
      <c r="F15" s="39">
        <f ca="1">ROUND(2*($F$14-$C$7)/$C$8,0)/2+$F$13</f>
        <v>17252.5</v>
      </c>
    </row>
    <row r="16" spans="1:7" ht="12.95" customHeight="1" x14ac:dyDescent="0.2">
      <c r="A16" s="15" t="s">
        <v>4</v>
      </c>
      <c r="B16" s="10"/>
      <c r="C16" s="16">
        <f ca="1">+C8+C12</f>
        <v>0.35522116791932451</v>
      </c>
      <c r="D16" s="14"/>
      <c r="E16" s="37" t="s">
        <v>37</v>
      </c>
      <c r="F16" s="39">
        <f ca="1">ROUND(2*($F$14-$C$15)/$C$16,0)/2+$F$13</f>
        <v>12120.5</v>
      </c>
    </row>
    <row r="17" spans="1:19" ht="12.95" customHeight="1" thickBot="1" x14ac:dyDescent="0.25">
      <c r="A17" s="14" t="s">
        <v>29</v>
      </c>
      <c r="B17" s="10"/>
      <c r="C17" s="10">
        <f>COUNT(C21:C2190)</f>
        <v>4</v>
      </c>
      <c r="D17" s="14"/>
      <c r="E17" s="40" t="s">
        <v>51</v>
      </c>
      <c r="F17" s="42">
        <f ca="1">+$C$15+$C$16*$F$16-15018.5-$C$9/24</f>
        <v>45498.047322255828</v>
      </c>
    </row>
    <row r="18" spans="1:19" ht="12.95" customHeight="1" thickTop="1" thickBot="1" x14ac:dyDescent="0.25">
      <c r="A18" s="15" t="s">
        <v>5</v>
      </c>
      <c r="B18" s="10"/>
      <c r="C18" s="17">
        <f ca="1">+C15</f>
        <v>56210.693323156316</v>
      </c>
      <c r="D18" s="18">
        <f ca="1">+C16</f>
        <v>0.35522116791932451</v>
      </c>
      <c r="E18" s="41" t="s">
        <v>52</v>
      </c>
      <c r="F18" s="43">
        <f ca="1">+($C$15+$C$16*$F$16)-($C$16/2)-15018.5-$C$9/24</f>
        <v>45497.869711671869</v>
      </c>
    </row>
    <row r="19" spans="1:19" ht="12.95" customHeight="1" thickTop="1" x14ac:dyDescent="0.2">
      <c r="A19" s="22" t="s">
        <v>33</v>
      </c>
      <c r="E19" s="23">
        <v>21</v>
      </c>
      <c r="S19">
        <f ca="1">SQRT(SUM(S21:S49)/(COUNT(S21:S49)-1))</f>
        <v>2.730756299539238E-3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4" t="s">
        <v>34</v>
      </c>
    </row>
    <row r="21" spans="1:19" ht="12.95" customHeight="1" x14ac:dyDescent="0.2">
      <c r="A21" s="45" t="s">
        <v>54</v>
      </c>
      <c r="C21" s="8">
        <v>54387.697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1.2893943443378839E-3</v>
      </c>
      <c r="Q21" s="2">
        <f>+C21-15018.5</f>
        <v>39369.197</v>
      </c>
      <c r="S21">
        <f ca="1">+(O21-G21)^2</f>
        <v>1.6625377752105214E-6</v>
      </c>
    </row>
    <row r="22" spans="1:19" ht="12.95" customHeight="1" x14ac:dyDescent="0.2">
      <c r="A22" s="30" t="s">
        <v>43</v>
      </c>
      <c r="B22" s="31" t="s">
        <v>44</v>
      </c>
      <c r="C22" s="30">
        <v>55544.656000000003</v>
      </c>
      <c r="D22" s="30">
        <v>4.0000000000000002E-4</v>
      </c>
      <c r="E22">
        <f>+(C22-C$7)/C$8</f>
        <v>3257.021001069767</v>
      </c>
      <c r="F22">
        <f>ROUND(2*E22,0)/2</f>
        <v>3257</v>
      </c>
      <c r="G22">
        <f>+C22-(C$7+F22*C$8)</f>
        <v>7.4600000007194467E-3</v>
      </c>
      <c r="I22">
        <f>+G22</f>
        <v>7.4600000007194467E-3</v>
      </c>
      <c r="O22">
        <f ca="1">+C$11+C$12*$F22</f>
        <v>5.0933075843420418E-3</v>
      </c>
      <c r="Q22" s="2">
        <f>+C22-15018.5</f>
        <v>40526.156000000003</v>
      </c>
      <c r="S22">
        <f ca="1">+(O22-G22)^2</f>
        <v>5.6012329937383192E-6</v>
      </c>
    </row>
    <row r="23" spans="1:19" ht="12.95" customHeight="1" x14ac:dyDescent="0.2">
      <c r="A23" s="30" t="s">
        <v>45</v>
      </c>
      <c r="B23" s="31" t="s">
        <v>44</v>
      </c>
      <c r="C23" s="30">
        <v>55851.922100000003</v>
      </c>
      <c r="D23" s="30">
        <v>8.0000000000000004E-4</v>
      </c>
      <c r="E23">
        <f>+(C23-C$7)/C$8</f>
        <v>4122.0232531952124</v>
      </c>
      <c r="F23">
        <f>ROUND(2*E23,0)/2</f>
        <v>4122</v>
      </c>
      <c r="G23">
        <f>+C23-(C$7+F23*C$8)</f>
        <v>8.2600000023376197E-3</v>
      </c>
      <c r="I23">
        <f>+G23</f>
        <v>8.2600000023376197E-3</v>
      </c>
      <c r="O23">
        <f ca="1">+C$11+C$12*$F23</f>
        <v>6.1035578000631346E-3</v>
      </c>
      <c r="Q23" s="2">
        <f>+C23-15018.5</f>
        <v>40833.422100000003</v>
      </c>
      <c r="S23">
        <f ca="1">+(O23-G23)^2</f>
        <v>4.6502429717504315E-6</v>
      </c>
    </row>
    <row r="24" spans="1:19" ht="12.95" customHeight="1" x14ac:dyDescent="0.2">
      <c r="A24" s="32" t="s">
        <v>46</v>
      </c>
      <c r="B24" s="33" t="s">
        <v>47</v>
      </c>
      <c r="C24" s="34">
        <v>56210.867700000003</v>
      </c>
      <c r="D24" s="34">
        <v>2.0000000000000001E-4</v>
      </c>
      <c r="E24">
        <f>+(C24-C$7)/C$8</f>
        <v>5132.5114013850643</v>
      </c>
      <c r="F24">
        <f>ROUND(2*E24,0)/2</f>
        <v>5132.5</v>
      </c>
      <c r="G24">
        <f>+C24-(C$7+F24*C$8)</f>
        <v>4.0500000031897798E-3</v>
      </c>
      <c r="I24">
        <f>+G24</f>
        <v>4.0500000031897798E-3</v>
      </c>
      <c r="O24">
        <f ca="1">+C$11+C$12*$F24</f>
        <v>7.2837402775037859E-3</v>
      </c>
      <c r="Q24" s="2">
        <f>+C24-15018.5</f>
        <v>41192.367700000003</v>
      </c>
      <c r="S24">
        <f ca="1">+(O24-G24)^2</f>
        <v>1.0457076161720424E-5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4" ht="12.95" customHeight="1" x14ac:dyDescent="0.2">
      <c r="C33" s="8"/>
      <c r="D33" s="8"/>
    </row>
    <row r="34" spans="3:4" ht="12.95" customHeight="1" x14ac:dyDescent="0.2">
      <c r="C34" s="8"/>
      <c r="D34" s="8"/>
    </row>
    <row r="35" spans="3:4" ht="12.95" customHeight="1" x14ac:dyDescent="0.2">
      <c r="C35" s="8"/>
      <c r="D35" s="8"/>
    </row>
    <row r="36" spans="3:4" ht="12.95" customHeight="1" x14ac:dyDescent="0.2">
      <c r="C36" s="8"/>
      <c r="D36" s="8"/>
    </row>
    <row r="37" spans="3:4" ht="12.95" customHeight="1" x14ac:dyDescent="0.2">
      <c r="C37" s="8"/>
      <c r="D37" s="8"/>
    </row>
    <row r="38" spans="3:4" ht="12.95" customHeight="1" x14ac:dyDescent="0.2">
      <c r="C38" s="8"/>
      <c r="D38" s="8"/>
    </row>
    <row r="39" spans="3:4" ht="12.95" customHeight="1" x14ac:dyDescent="0.2">
      <c r="C39" s="8"/>
      <c r="D39" s="8"/>
    </row>
    <row r="40" spans="3:4" ht="12.95" customHeight="1" x14ac:dyDescent="0.2">
      <c r="C40" s="8"/>
      <c r="D40" s="8"/>
    </row>
    <row r="41" spans="3:4" ht="12.95" customHeight="1" x14ac:dyDescent="0.2">
      <c r="C41" s="8"/>
      <c r="D41" s="8"/>
    </row>
    <row r="42" spans="3:4" ht="12.95" customHeight="1" x14ac:dyDescent="0.2">
      <c r="C42" s="8"/>
      <c r="D42" s="8"/>
    </row>
    <row r="43" spans="3:4" ht="12.95" customHeight="1" x14ac:dyDescent="0.2">
      <c r="C43" s="8"/>
      <c r="D43" s="8"/>
    </row>
    <row r="44" spans="3:4" ht="12.95" customHeight="1" x14ac:dyDescent="0.2">
      <c r="C44" s="8"/>
      <c r="D44" s="8"/>
    </row>
    <row r="45" spans="3:4" ht="12.95" customHeight="1" x14ac:dyDescent="0.2">
      <c r="C45" s="8"/>
      <c r="D45" s="8"/>
    </row>
    <row r="46" spans="3:4" ht="12.95" customHeight="1" x14ac:dyDescent="0.2">
      <c r="C46" s="8"/>
      <c r="D46" s="8"/>
    </row>
    <row r="47" spans="3:4" ht="12.95" customHeight="1" x14ac:dyDescent="0.2">
      <c r="C47" s="8"/>
      <c r="D47" s="8"/>
    </row>
    <row r="48" spans="3:4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V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2024-07-24T07:19:30Z</dcterms:modified>
</cp:coreProperties>
</file>