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6D59789-428F-4C64-A11C-E5ADC747E2D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4" i="1" l="1"/>
  <c r="C9" i="1"/>
  <c r="D9" i="1"/>
  <c r="Q30" i="1"/>
  <c r="Q28" i="1"/>
  <c r="Q27" i="1"/>
  <c r="Q24" i="1"/>
  <c r="G12" i="2"/>
  <c r="C12" i="2"/>
  <c r="G18" i="2"/>
  <c r="C18" i="2"/>
  <c r="G13" i="2"/>
  <c r="C13" i="2"/>
  <c r="G14" i="2"/>
  <c r="C14" i="2"/>
  <c r="G19" i="2"/>
  <c r="C19" i="2"/>
  <c r="G20" i="2"/>
  <c r="C20" i="2"/>
  <c r="G15" i="2"/>
  <c r="C15" i="2"/>
  <c r="G21" i="2"/>
  <c r="C21" i="2"/>
  <c r="G16" i="2"/>
  <c r="C16" i="2"/>
  <c r="G17" i="2"/>
  <c r="C17" i="2"/>
  <c r="G22" i="2"/>
  <c r="C22" i="2"/>
  <c r="G11" i="2"/>
  <c r="C11" i="2"/>
  <c r="H22" i="2"/>
  <c r="D22" i="2"/>
  <c r="B22" i="2"/>
  <c r="A22" i="2"/>
  <c r="H17" i="2"/>
  <c r="B17" i="2"/>
  <c r="D17" i="2"/>
  <c r="A17" i="2"/>
  <c r="H16" i="2"/>
  <c r="D16" i="2"/>
  <c r="B16" i="2"/>
  <c r="A16" i="2"/>
  <c r="H21" i="2"/>
  <c r="B21" i="2"/>
  <c r="D21" i="2"/>
  <c r="A21" i="2"/>
  <c r="H15" i="2"/>
  <c r="D15" i="2"/>
  <c r="B15" i="2"/>
  <c r="A15" i="2"/>
  <c r="H20" i="2"/>
  <c r="B20" i="2"/>
  <c r="D20" i="2"/>
  <c r="A20" i="2"/>
  <c r="H19" i="2"/>
  <c r="D19" i="2"/>
  <c r="B19" i="2"/>
  <c r="A19" i="2"/>
  <c r="H14" i="2"/>
  <c r="B14" i="2"/>
  <c r="D14" i="2"/>
  <c r="A14" i="2"/>
  <c r="H13" i="2"/>
  <c r="D13" i="2"/>
  <c r="B13" i="2"/>
  <c r="A13" i="2"/>
  <c r="H18" i="2"/>
  <c r="B18" i="2"/>
  <c r="D18" i="2"/>
  <c r="A18" i="2"/>
  <c r="H12" i="2"/>
  <c r="D12" i="2"/>
  <c r="B12" i="2"/>
  <c r="A12" i="2"/>
  <c r="H11" i="2"/>
  <c r="B11" i="2"/>
  <c r="D11" i="2"/>
  <c r="A11" i="2"/>
  <c r="Q32" i="1"/>
  <c r="Q33" i="1"/>
  <c r="Q29" i="1"/>
  <c r="Q31" i="1"/>
  <c r="F16" i="1"/>
  <c r="F17" i="1" s="1"/>
  <c r="C17" i="1"/>
  <c r="C8" i="1"/>
  <c r="Q25" i="1"/>
  <c r="Q26" i="1"/>
  <c r="Q22" i="1"/>
  <c r="Q23" i="1"/>
  <c r="C7" i="1"/>
  <c r="E22" i="1"/>
  <c r="F22" i="1"/>
  <c r="Q21" i="1"/>
  <c r="E11" i="2"/>
  <c r="E19" i="2"/>
  <c r="E17" i="2"/>
  <c r="E18" i="2"/>
  <c r="G29" i="1"/>
  <c r="J29" i="1"/>
  <c r="E25" i="1"/>
  <c r="F25" i="1"/>
  <c r="G25" i="1"/>
  <c r="J25" i="1"/>
  <c r="E32" i="1"/>
  <c r="F32" i="1"/>
  <c r="R32" i="1"/>
  <c r="E31" i="1"/>
  <c r="F31" i="1"/>
  <c r="E21" i="1"/>
  <c r="F21" i="1"/>
  <c r="E34" i="1"/>
  <c r="F34" i="1"/>
  <c r="R34" i="1"/>
  <c r="E28" i="1"/>
  <c r="F28" i="1"/>
  <c r="G28" i="1"/>
  <c r="I28" i="1"/>
  <c r="E29" i="1"/>
  <c r="F29" i="1"/>
  <c r="E27" i="1"/>
  <c r="F27" i="1"/>
  <c r="G27" i="1"/>
  <c r="K27" i="1"/>
  <c r="E23" i="1"/>
  <c r="F23" i="1"/>
  <c r="G23" i="1"/>
  <c r="I23" i="1"/>
  <c r="E33" i="1"/>
  <c r="F33" i="1"/>
  <c r="G33" i="1"/>
  <c r="J33" i="1"/>
  <c r="G22" i="1"/>
  <c r="E30" i="1"/>
  <c r="F30" i="1"/>
  <c r="G30" i="1"/>
  <c r="K30" i="1"/>
  <c r="G31" i="1"/>
  <c r="J31" i="1"/>
  <c r="E26" i="1"/>
  <c r="F26" i="1"/>
  <c r="G26" i="1"/>
  <c r="J26" i="1"/>
  <c r="E24" i="1"/>
  <c r="F24" i="1"/>
  <c r="G24" i="1"/>
  <c r="K24" i="1"/>
  <c r="E20" i="2"/>
  <c r="I22" i="1"/>
  <c r="E13" i="2"/>
  <c r="E21" i="2"/>
  <c r="E14" i="2"/>
  <c r="E12" i="2"/>
  <c r="E15" i="2"/>
  <c r="E22" i="2"/>
  <c r="E16" i="2"/>
  <c r="C12" i="1"/>
  <c r="C11" i="1"/>
  <c r="O26" i="1" l="1"/>
  <c r="O34" i="1"/>
  <c r="O27" i="1"/>
  <c r="O33" i="1"/>
  <c r="O21" i="1"/>
  <c r="O25" i="1"/>
  <c r="C15" i="1"/>
  <c r="O28" i="1"/>
  <c r="O29" i="1"/>
  <c r="O22" i="1"/>
  <c r="O31" i="1"/>
  <c r="O30" i="1"/>
  <c r="O32" i="1"/>
  <c r="O24" i="1"/>
  <c r="O23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<sst xmlns="http://schemas.openxmlformats.org/spreadsheetml/2006/main" count="179" uniqueCount="118">
  <si>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</si>
  <si>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</si>
  <si>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</si>
  <si>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</si>
  <si>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</si>
  <si>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</si>
  <si>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</si>
  <si>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</si>
  <si>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</si>
  <si>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</si>
  <si>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</si>
  <si>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</si>
  <si>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</si>
  <si>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</si>
  <si>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</si>
  <si>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</si>
  <si>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</si>
  <si>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</si>
  <si>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</si>
  <si>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</si>
  <si>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</si>
  <si>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</si>
  <si>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</si>
  <si>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</si>
  <si>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</si>
  <si>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BBSAG Bull.115</t>
  </si>
  <si>
    <t>BBSAG Bull.117</t>
  </si>
  <si>
    <t>II</t>
  </si>
  <si>
    <t># of data points:</t>
  </si>
  <si>
    <t>EW:/KE:</t>
  </si>
  <si>
    <t>BG Boo / gsc 2009-0718</t>
  </si>
  <si>
    <t>IBVS 5731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</si>
  <si>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</si>
  <si>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</si>
  <si>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</si>
  <si>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</si>
  <si>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</si>
  <si>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</si>
  <si>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</si>
  <si>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</si>
  <si>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IBVS 6010</t>
  </si>
  <si>
    <t>I</t>
  </si>
  <si>
    <t>IBVS 6048</t>
  </si>
  <si>
    <t>IBVS 6118</t>
  </si>
  <si>
    <t>BAD?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</si>
  <si>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</si>
  <si>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</si>
  <si>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</si>
  <si>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</si>
  <si>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</si>
  <si>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</si>
  <si>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</si>
  <si>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</si>
  <si>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</si>
  <si>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</si>
  <si>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</si>
  <si>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2450599.427 </t>
  </si>
  <si>
    <t> 30.05.1997 22:14 </t>
  </si>
  <si>
    <t> 0.060 </t>
  </si>
  <si>
    <t>E </t>
  </si>
  <si>
    <t>?</t>
  </si>
  <si>
    <t> R.Diethelm </t>
  </si>
  <si>
    <t> BBS 114 </t>
  </si>
  <si>
    <t>2450902.484 </t>
  </si>
  <si>
    <t> 29.03.1998 23:36 </t>
  </si>
  <si>
    <t> 0.039 </t>
  </si>
  <si>
    <t> BBS 117 </t>
  </si>
  <si>
    <t>2453125.1496 </t>
  </si>
  <si>
    <t> 29.04.2004 15:35 </t>
  </si>
  <si>
    <t> 0.0254 </t>
  </si>
  <si>
    <t> Nakajima </t>
  </si>
  <si>
    <t>VSB 43 </t>
  </si>
  <si>
    <t>2453509.5285 </t>
  </si>
  <si>
    <t> 19.05.2005 00:41 </t>
  </si>
  <si>
    <t> 0.0360 </t>
  </si>
  <si>
    <t>C </t>
  </si>
  <si>
    <t>o</t>
  </si>
  <si>
    <t> U.Schmidt </t>
  </si>
  <si>
    <t>BAVM 178 </t>
  </si>
  <si>
    <t>2453510.4660 </t>
  </si>
  <si>
    <t> 19.05.2005 23:11 </t>
  </si>
  <si>
    <t> 0.0134 </t>
  </si>
  <si>
    <t>2455012.4328 </t>
  </si>
  <si>
    <t> 29.06.2009 22:23 </t>
  </si>
  <si>
    <t> 0.0316 </t>
  </si>
  <si>
    <t> H.Jungbluth </t>
  </si>
  <si>
    <t>BAVM 212 </t>
  </si>
  <si>
    <t>2455636.790 </t>
  </si>
  <si>
    <t> 16.03.2011 06:57 </t>
  </si>
  <si>
    <t> -0.010 </t>
  </si>
  <si>
    <t> A.Paschke </t>
  </si>
  <si>
    <t>OEJV 0162 </t>
  </si>
  <si>
    <t>2455648.6293 </t>
  </si>
  <si>
    <t> 28.03.2011 03:06 </t>
  </si>
  <si>
    <t> -0.0119 </t>
  </si>
  <si>
    <t>BAVM 220 </t>
  </si>
  <si>
    <t>2455649.6138 </t>
  </si>
  <si>
    <t> 29.03.2011 02:43 </t>
  </si>
  <si>
    <t> 0.0125 </t>
  </si>
  <si>
    <t>2455682.377 </t>
  </si>
  <si>
    <t> 30.04.2011 21:02 </t>
  </si>
  <si>
    <t> -0.028 </t>
  </si>
  <si>
    <t> W.Moschner &amp; P.Frank </t>
  </si>
  <si>
    <t>BAVM 234 </t>
  </si>
  <si>
    <t>2456002.5908 </t>
  </si>
  <si>
    <t> 16.03.2012 02:10 </t>
  </si>
  <si>
    <t> -0.0148 </t>
  </si>
  <si>
    <t>BAVM 228 </t>
  </si>
  <si>
    <t>2456794.4743 </t>
  </si>
  <si>
    <t> 16.05.2014 23:22 </t>
  </si>
  <si>
    <t> -0.0708 </t>
  </si>
  <si>
    <t>-I</t>
  </si>
  <si>
    <t> G.Maintz </t>
  </si>
  <si>
    <t>BAVM 241 (=IBVS 6157) </t>
  </si>
  <si>
    <t>s5</t>
  </si>
  <si>
    <t>s6</t>
  </si>
  <si>
    <t>s7</t>
  </si>
  <si>
    <t>IBVS 6157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</si>
</sst>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>
      <alignment vertical="top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0" fillId="0" borderId="0" xfId="0" applyFont="1" applyAlignment="1"/>
    <xf numFmtId="14" fontId="15" fillId="0" borderId="0" xfId="0" applyNumberFormat="1" applyFont="1" applyAlignment="1"/>
    <xf numFmtId="0" fontId="5" fillId="0" borderId="0" xfId="0" applyFo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9" fillId="0" borderId="0" xfId="0" applyFont="1" applyAlignment="1"/>
    <xf numFmtId="0" fontId="18" fillId="0" borderId="4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1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1" fillId="2" borderId="12" xfId="7" applyFill="1" applyBorder="1" applyAlignment="1" applyProtection="1">
      <alignment horizontal="right" vertical="top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BG Boo - O-C Diagr.</a:t>
            </a:r>
          </a:p>
        </c:rich>
      </c:tx>
      <c:layout>
        <c:manualLayout>
          <c:xMode val="edge"/>
          <c:yMode val="edge"/>
          <c:x val="0.3743922204213938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00486223662884"/>
          <c:y val="0.14769252958613219"/>
          <c:w val="0.81037277147487841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21771</c:v>
                </c:pt>
                <c:pt idx="2">
                  <c:v>22244.5</c:v>
                </c:pt>
                <c:pt idx="3">
                  <c:v>25717</c:v>
                </c:pt>
                <c:pt idx="4">
                  <c:v>26317.5</c:v>
                </c:pt>
                <c:pt idx="5">
                  <c:v>26319</c:v>
                </c:pt>
                <c:pt idx="6">
                  <c:v>28665.5</c:v>
                </c:pt>
                <c:pt idx="7">
                  <c:v>29641</c:v>
                </c:pt>
                <c:pt idx="8">
                  <c:v>29659.5</c:v>
                </c:pt>
                <c:pt idx="9">
                  <c:v>29661</c:v>
                </c:pt>
                <c:pt idx="10">
                  <c:v>29661</c:v>
                </c:pt>
                <c:pt idx="11">
                  <c:v>29712</c:v>
                </c:pt>
                <c:pt idx="12">
                  <c:v>30212.5</c:v>
                </c:pt>
                <c:pt idx="13">
                  <c:v>31449.5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20-43FE-88B1-B2BA617F4B2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8.3000000000000001E-3</c:v>
                  </c:pt>
                  <c:pt idx="6">
                    <c:v>0</c:v>
                  </c:pt>
                  <c:pt idx="7">
                    <c:v>0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2.0999999999999999E-3</c:v>
                  </c:pt>
                  <c:pt idx="11">
                    <c:v>1E-3</c:v>
                  </c:pt>
                  <c:pt idx="12">
                    <c:v>2.7000000000000001E-3</c:v>
                  </c:pt>
                  <c:pt idx="13">
                    <c:v>4.0000000000000001E-3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8.3000000000000001E-3</c:v>
                  </c:pt>
                  <c:pt idx="6">
                    <c:v>0</c:v>
                  </c:pt>
                  <c:pt idx="7">
                    <c:v>0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2.0999999999999999E-3</c:v>
                  </c:pt>
                  <c:pt idx="11">
                    <c:v>1E-3</c:v>
                  </c:pt>
                  <c:pt idx="12">
                    <c:v>2.7000000000000001E-3</c:v>
                  </c:pt>
                  <c:pt idx="1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21771</c:v>
                </c:pt>
                <c:pt idx="2">
                  <c:v>22244.5</c:v>
                </c:pt>
                <c:pt idx="3">
                  <c:v>25717</c:v>
                </c:pt>
                <c:pt idx="4">
                  <c:v>26317.5</c:v>
                </c:pt>
                <c:pt idx="5">
                  <c:v>26319</c:v>
                </c:pt>
                <c:pt idx="6">
                  <c:v>28665.5</c:v>
                </c:pt>
                <c:pt idx="7">
                  <c:v>29641</c:v>
                </c:pt>
                <c:pt idx="8">
                  <c:v>29659.5</c:v>
                </c:pt>
                <c:pt idx="9">
                  <c:v>29661</c:v>
                </c:pt>
                <c:pt idx="10">
                  <c:v>29661</c:v>
                </c:pt>
                <c:pt idx="11">
                  <c:v>29712</c:v>
                </c:pt>
                <c:pt idx="12">
                  <c:v>30212.5</c:v>
                </c:pt>
                <c:pt idx="13">
                  <c:v>31449.5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0</c:v>
                </c:pt>
                <c:pt idx="1">
                  <c:v>2.1778000002086628E-2</c:v>
                </c:pt>
                <c:pt idx="2">
                  <c:v>-4.9000002036336809E-5</c:v>
                </c:pt>
                <c:pt idx="7">
                  <c:v>-6.0562000006029848E-2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20-43FE-88B1-B2BA617F4B2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8.3000000000000001E-3</c:v>
                  </c:pt>
                  <c:pt idx="6">
                    <c:v>0</c:v>
                  </c:pt>
                  <c:pt idx="7">
                    <c:v>0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2.0999999999999999E-3</c:v>
                  </c:pt>
                  <c:pt idx="11">
                    <c:v>1E-3</c:v>
                  </c:pt>
                  <c:pt idx="12">
                    <c:v>2.7000000000000001E-3</c:v>
                  </c:pt>
                  <c:pt idx="13">
                    <c:v>4.0000000000000001E-3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8.3000000000000001E-3</c:v>
                  </c:pt>
                  <c:pt idx="6">
                    <c:v>0</c:v>
                  </c:pt>
                  <c:pt idx="7">
                    <c:v>0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2.0999999999999999E-3</c:v>
                  </c:pt>
                  <c:pt idx="11">
                    <c:v>1E-3</c:v>
                  </c:pt>
                  <c:pt idx="12">
                    <c:v>2.7000000000000001E-3</c:v>
                  </c:pt>
                  <c:pt idx="1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21771</c:v>
                </c:pt>
                <c:pt idx="2">
                  <c:v>22244.5</c:v>
                </c:pt>
                <c:pt idx="3">
                  <c:v>25717</c:v>
                </c:pt>
                <c:pt idx="4">
                  <c:v>26317.5</c:v>
                </c:pt>
                <c:pt idx="5">
                  <c:v>26319</c:v>
                </c:pt>
                <c:pt idx="6">
                  <c:v>28665.5</c:v>
                </c:pt>
                <c:pt idx="7">
                  <c:v>29641</c:v>
                </c:pt>
                <c:pt idx="8">
                  <c:v>29659.5</c:v>
                </c:pt>
                <c:pt idx="9">
                  <c:v>29661</c:v>
                </c:pt>
                <c:pt idx="10">
                  <c:v>29661</c:v>
                </c:pt>
                <c:pt idx="11">
                  <c:v>29712</c:v>
                </c:pt>
                <c:pt idx="12">
                  <c:v>30212.5</c:v>
                </c:pt>
                <c:pt idx="13">
                  <c:v>31449.5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4">
                  <c:v>-9.5350000046892092E-3</c:v>
                </c:pt>
                <c:pt idx="5">
                  <c:v>-3.2158000001800247E-2</c:v>
                </c:pt>
                <c:pt idx="8">
                  <c:v>-6.2778999999864027E-2</c:v>
                </c:pt>
                <c:pt idx="10">
                  <c:v>-3.8302000000840053E-2</c:v>
                </c:pt>
                <c:pt idx="12">
                  <c:v>-6.6624999999476131E-2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20-43FE-88B1-B2BA617F4B2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8.3000000000000001E-3</c:v>
                  </c:pt>
                  <c:pt idx="6">
                    <c:v>0</c:v>
                  </c:pt>
                  <c:pt idx="7">
                    <c:v>0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2.0999999999999999E-3</c:v>
                  </c:pt>
                  <c:pt idx="11">
                    <c:v>1E-3</c:v>
                  </c:pt>
                  <c:pt idx="12">
                    <c:v>2.7000000000000001E-3</c:v>
                  </c:pt>
                  <c:pt idx="13">
                    <c:v>4.0000000000000001E-3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8.3000000000000001E-3</c:v>
                  </c:pt>
                  <c:pt idx="6">
                    <c:v>0</c:v>
                  </c:pt>
                  <c:pt idx="7">
                    <c:v>0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2.0999999999999999E-3</c:v>
                  </c:pt>
                  <c:pt idx="11">
                    <c:v>1E-3</c:v>
                  </c:pt>
                  <c:pt idx="12">
                    <c:v>2.7000000000000001E-3</c:v>
                  </c:pt>
                  <c:pt idx="1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21771</c:v>
                </c:pt>
                <c:pt idx="2">
                  <c:v>22244.5</c:v>
                </c:pt>
                <c:pt idx="3">
                  <c:v>25717</c:v>
                </c:pt>
                <c:pt idx="4">
                  <c:v>26317.5</c:v>
                </c:pt>
                <c:pt idx="5">
                  <c:v>26319</c:v>
                </c:pt>
                <c:pt idx="6">
                  <c:v>28665.5</c:v>
                </c:pt>
                <c:pt idx="7">
                  <c:v>29641</c:v>
                </c:pt>
                <c:pt idx="8">
                  <c:v>29659.5</c:v>
                </c:pt>
                <c:pt idx="9">
                  <c:v>29661</c:v>
                </c:pt>
                <c:pt idx="10">
                  <c:v>29661</c:v>
                </c:pt>
                <c:pt idx="11">
                  <c:v>29712</c:v>
                </c:pt>
                <c:pt idx="12">
                  <c:v>30212.5</c:v>
                </c:pt>
                <c:pt idx="13">
                  <c:v>31449.5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">
                  <c:v>-1.9194000000425149E-2</c:v>
                </c:pt>
                <c:pt idx="6">
                  <c:v>-1.7770999998901971E-2</c:v>
                </c:pt>
                <c:pt idx="9">
                  <c:v>-3.840199999831384E-2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20-43FE-88B1-B2BA617F4B2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8.3000000000000001E-3</c:v>
                  </c:pt>
                  <c:pt idx="6">
                    <c:v>0</c:v>
                  </c:pt>
                  <c:pt idx="7">
                    <c:v>0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2.0999999999999999E-3</c:v>
                  </c:pt>
                  <c:pt idx="11">
                    <c:v>1E-3</c:v>
                  </c:pt>
                  <c:pt idx="12">
                    <c:v>2.7000000000000001E-3</c:v>
                  </c:pt>
                  <c:pt idx="13">
                    <c:v>4.0000000000000001E-3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8.3000000000000001E-3</c:v>
                  </c:pt>
                  <c:pt idx="6">
                    <c:v>0</c:v>
                  </c:pt>
                  <c:pt idx="7">
                    <c:v>0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2.0999999999999999E-3</c:v>
                  </c:pt>
                  <c:pt idx="11">
                    <c:v>1E-3</c:v>
                  </c:pt>
                  <c:pt idx="12">
                    <c:v>2.7000000000000001E-3</c:v>
                  </c:pt>
                  <c:pt idx="1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21771</c:v>
                </c:pt>
                <c:pt idx="2">
                  <c:v>22244.5</c:v>
                </c:pt>
                <c:pt idx="3">
                  <c:v>25717</c:v>
                </c:pt>
                <c:pt idx="4">
                  <c:v>26317.5</c:v>
                </c:pt>
                <c:pt idx="5">
                  <c:v>26319</c:v>
                </c:pt>
                <c:pt idx="6">
                  <c:v>28665.5</c:v>
                </c:pt>
                <c:pt idx="7">
                  <c:v>29641</c:v>
                </c:pt>
                <c:pt idx="8">
                  <c:v>29659.5</c:v>
                </c:pt>
                <c:pt idx="9">
                  <c:v>29661</c:v>
                </c:pt>
                <c:pt idx="10">
                  <c:v>29661</c:v>
                </c:pt>
                <c:pt idx="11">
                  <c:v>29712</c:v>
                </c:pt>
                <c:pt idx="12">
                  <c:v>30212.5</c:v>
                </c:pt>
                <c:pt idx="13">
                  <c:v>31449.5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20-43FE-88B1-B2BA617F4B2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8.3000000000000001E-3</c:v>
                  </c:pt>
                  <c:pt idx="6">
                    <c:v>0</c:v>
                  </c:pt>
                  <c:pt idx="7">
                    <c:v>0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2.0999999999999999E-3</c:v>
                  </c:pt>
                  <c:pt idx="11">
                    <c:v>1E-3</c:v>
                  </c:pt>
                  <c:pt idx="12">
                    <c:v>2.7000000000000001E-3</c:v>
                  </c:pt>
                  <c:pt idx="13">
                    <c:v>4.0000000000000001E-3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8.3000000000000001E-3</c:v>
                  </c:pt>
                  <c:pt idx="6">
                    <c:v>0</c:v>
                  </c:pt>
                  <c:pt idx="7">
                    <c:v>0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2.0999999999999999E-3</c:v>
                  </c:pt>
                  <c:pt idx="11">
                    <c:v>1E-3</c:v>
                  </c:pt>
                  <c:pt idx="12">
                    <c:v>2.7000000000000001E-3</c:v>
                  </c:pt>
                  <c:pt idx="1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21771</c:v>
                </c:pt>
                <c:pt idx="2">
                  <c:v>22244.5</c:v>
                </c:pt>
                <c:pt idx="3">
                  <c:v>25717</c:v>
                </c:pt>
                <c:pt idx="4">
                  <c:v>26317.5</c:v>
                </c:pt>
                <c:pt idx="5">
                  <c:v>26319</c:v>
                </c:pt>
                <c:pt idx="6">
                  <c:v>28665.5</c:v>
                </c:pt>
                <c:pt idx="7">
                  <c:v>29641</c:v>
                </c:pt>
                <c:pt idx="8">
                  <c:v>29659.5</c:v>
                </c:pt>
                <c:pt idx="9">
                  <c:v>29661</c:v>
                </c:pt>
                <c:pt idx="10">
                  <c:v>29661</c:v>
                </c:pt>
                <c:pt idx="11">
                  <c:v>29712</c:v>
                </c:pt>
                <c:pt idx="12">
                  <c:v>30212.5</c:v>
                </c:pt>
                <c:pt idx="13">
                  <c:v>31449.5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20-43FE-88B1-B2BA617F4B2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8.3000000000000001E-3</c:v>
                  </c:pt>
                  <c:pt idx="6">
                    <c:v>0</c:v>
                  </c:pt>
                  <c:pt idx="7">
                    <c:v>0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2.0999999999999999E-3</c:v>
                  </c:pt>
                  <c:pt idx="11">
                    <c:v>1E-3</c:v>
                  </c:pt>
                  <c:pt idx="12">
                    <c:v>2.7000000000000001E-3</c:v>
                  </c:pt>
                  <c:pt idx="13">
                    <c:v>4.0000000000000001E-3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  <c:pt idx="3">
                    <c:v>0</c:v>
                  </c:pt>
                  <c:pt idx="4">
                    <c:v>8.3000000000000001E-3</c:v>
                  </c:pt>
                  <c:pt idx="5">
                    <c:v>8.3000000000000001E-3</c:v>
                  </c:pt>
                  <c:pt idx="6">
                    <c:v>0</c:v>
                  </c:pt>
                  <c:pt idx="7">
                    <c:v>0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2.0999999999999999E-3</c:v>
                  </c:pt>
                  <c:pt idx="11">
                    <c:v>1E-3</c:v>
                  </c:pt>
                  <c:pt idx="12">
                    <c:v>2.7000000000000001E-3</c:v>
                  </c:pt>
                  <c:pt idx="1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21771</c:v>
                </c:pt>
                <c:pt idx="2">
                  <c:v>22244.5</c:v>
                </c:pt>
                <c:pt idx="3">
                  <c:v>25717</c:v>
                </c:pt>
                <c:pt idx="4">
                  <c:v>26317.5</c:v>
                </c:pt>
                <c:pt idx="5">
                  <c:v>26319</c:v>
                </c:pt>
                <c:pt idx="6">
                  <c:v>28665.5</c:v>
                </c:pt>
                <c:pt idx="7">
                  <c:v>29641</c:v>
                </c:pt>
                <c:pt idx="8">
                  <c:v>29659.5</c:v>
                </c:pt>
                <c:pt idx="9">
                  <c:v>29661</c:v>
                </c:pt>
                <c:pt idx="10">
                  <c:v>29661</c:v>
                </c:pt>
                <c:pt idx="11">
                  <c:v>29712</c:v>
                </c:pt>
                <c:pt idx="12">
                  <c:v>30212.5</c:v>
                </c:pt>
                <c:pt idx="13">
                  <c:v>31449.5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20-43FE-88B1-B2BA617F4B2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21771</c:v>
                </c:pt>
                <c:pt idx="2">
                  <c:v>22244.5</c:v>
                </c:pt>
                <c:pt idx="3">
                  <c:v>25717</c:v>
                </c:pt>
                <c:pt idx="4">
                  <c:v>26317.5</c:v>
                </c:pt>
                <c:pt idx="5">
                  <c:v>26319</c:v>
                </c:pt>
                <c:pt idx="6">
                  <c:v>28665.5</c:v>
                </c:pt>
                <c:pt idx="7">
                  <c:v>29641</c:v>
                </c:pt>
                <c:pt idx="8">
                  <c:v>29659.5</c:v>
                </c:pt>
                <c:pt idx="9">
                  <c:v>29661</c:v>
                </c:pt>
                <c:pt idx="10">
                  <c:v>29661</c:v>
                </c:pt>
                <c:pt idx="11">
                  <c:v>29712</c:v>
                </c:pt>
                <c:pt idx="12">
                  <c:v>30212.5</c:v>
                </c:pt>
                <c:pt idx="13">
                  <c:v>31449.5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0.19046581528720657</c:v>
                </c:pt>
                <c:pt idx="1">
                  <c:v>1.4862702132919292E-2</c:v>
                </c:pt>
                <c:pt idx="2">
                  <c:v>1.1043489690745978E-2</c:v>
                </c:pt>
                <c:pt idx="3">
                  <c:v>-1.6965412538286345E-2</c:v>
                </c:pt>
                <c:pt idx="4">
                  <c:v>-2.180899663865607E-2</c:v>
                </c:pt>
                <c:pt idx="5">
                  <c:v>-2.1821095516508793E-2</c:v>
                </c:pt>
                <c:pt idx="6">
                  <c:v>-4.0747773437437323E-2</c:v>
                </c:pt>
                <c:pt idx="7">
                  <c:v>-4.8616077000985497E-2</c:v>
                </c:pt>
                <c:pt idx="8">
                  <c:v>-4.8765296494502286E-2</c:v>
                </c:pt>
                <c:pt idx="9">
                  <c:v>-4.8777395372355009E-2</c:v>
                </c:pt>
                <c:pt idx="10">
                  <c:v>-4.8777395372355009E-2</c:v>
                </c:pt>
                <c:pt idx="11">
                  <c:v>-4.918875721934729E-2</c:v>
                </c:pt>
                <c:pt idx="12">
                  <c:v>-5.3225749462869426E-2</c:v>
                </c:pt>
                <c:pt idx="13">
                  <c:v>-6.3203290732074036E-2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20-43FE-88B1-B2BA617F4B2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21771</c:v>
                </c:pt>
                <c:pt idx="2">
                  <c:v>22244.5</c:v>
                </c:pt>
                <c:pt idx="3">
                  <c:v>25717</c:v>
                </c:pt>
                <c:pt idx="4">
                  <c:v>26317.5</c:v>
                </c:pt>
                <c:pt idx="5">
                  <c:v>26319</c:v>
                </c:pt>
                <c:pt idx="6">
                  <c:v>28665.5</c:v>
                </c:pt>
                <c:pt idx="7">
                  <c:v>29641</c:v>
                </c:pt>
                <c:pt idx="8">
                  <c:v>29659.5</c:v>
                </c:pt>
                <c:pt idx="9">
                  <c:v>29661</c:v>
                </c:pt>
                <c:pt idx="10">
                  <c:v>29661</c:v>
                </c:pt>
                <c:pt idx="11">
                  <c:v>29712</c:v>
                </c:pt>
                <c:pt idx="12">
                  <c:v>30212.5</c:v>
                </c:pt>
                <c:pt idx="13">
                  <c:v>31449.5</c:v>
                </c:pt>
              </c:numCache>
            </c:numRef>
          </c:xVal>
          <c:yVal>
            <c:numRef>
              <c:f>Active!$R$21:$R$993</c:f>
              <c:numCache>
                <c:formatCode>General</c:formatCode>
                <c:ptCount val="973"/>
                <c:pt idx="11">
                  <c:v>8.0615999999281485E-2</c:v>
                </c:pt>
                <c:pt idx="13">
                  <c:v>3.5440999999991618E-2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20-43FE-88B1-B2BA617F4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659816"/>
        <c:axId val="1"/>
      </c:scatterChart>
      <c:valAx>
        <c:axId val="67665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12155591572118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243111831442464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659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55753646677471"/>
          <c:y val="0.92000129214617399"/>
          <c:w val="0.7601296596434359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16</xdr:col>
      <xdr:colOff>361950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1B78A9D-7BB2-E3C3-2391-545B5DC534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178" TargetMode="External"/><Relationship Id="rId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vsolj.cetus-net.org/no43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162.pdf" TargetMode="External"/><Relationship Id="rId11" Type="http://schemas.openxmlformats.org/officeDocument/2006/relationships/hyperlink" Target="http://www.bav-astro.de/sfs/BAVM_link.php?BAVMnr=241" TargetMode="External"/><Relationship Id="rId5" Type="http://schemas.openxmlformats.org/officeDocument/2006/relationships/hyperlink" Target="http://www.bav-astro.de/sfs/BAVM_link.php?BAVMnr=212" TargetMode="External"/><Relationship Id="rId10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www.bav-astro.de/sfs/BAVM_link.php?BAVMnr=178" TargetMode="External"/><Relationship Id="rId9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workbookViewId="0">
      <pane xSplit="14" ySplit="22" topLeftCell="O28" activePane="bottomRight" state="frozen"/>
      <selection pane="topRight" activeCell="O1" sqref="O1"/>
      <selection pane="bottomLeft" activeCell="A23" sqref="A23"/>
      <selection pane="bottomRight" activeCell="H48" sqref="H48"/>
    </sheetView>
  </sheetViews>
  <sheetFormatPr defaultColWidth="10.28515625" defaultRowHeight="12.75" x14ac:dyDescent="0.2"/>
  <cols>
    <col min="1" max="1" width="14.42578125" customWidth="1"/>
    <col min="2" max="2" width="5.140625" style="4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30</v>
      </c>
    </row>
    <row r="2" spans="1:6" x14ac:dyDescent="0.2">
      <c r="A2" t="s">
        <v>24</v>
      </c>
      <c r="B2" s="9" t="s">
        <v>29</v>
      </c>
    </row>
    <row r="4" spans="1:6" ht="14.25" thickTop="1" thickBot="1" x14ac:dyDescent="0.25">
      <c r="A4" s="6" t="s">
        <v>0</v>
      </c>
      <c r="C4" s="2">
        <v>36664.18</v>
      </c>
      <c r="D4" s="3">
        <v>0.64008200000000004</v>
      </c>
    </row>
    <row r="5" spans="1:6" ht="13.5" thickTop="1" x14ac:dyDescent="0.2">
      <c r="A5" s="11" t="s">
        <v>32</v>
      </c>
      <c r="B5" s="10"/>
      <c r="C5" s="12">
        <v>-9.5</v>
      </c>
      <c r="D5" s="10" t="s">
        <v>33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36664.18</v>
      </c>
    </row>
    <row r="8" spans="1:6" x14ac:dyDescent="0.2">
      <c r="A8" t="s">
        <v>3</v>
      </c>
      <c r="C8">
        <f>+D4</f>
        <v>0.64008200000000004</v>
      </c>
    </row>
    <row r="9" spans="1:6" x14ac:dyDescent="0.2">
      <c r="A9" s="25" t="s">
        <v>36</v>
      </c>
      <c r="B9" s="26">
        <v>22</v>
      </c>
      <c r="C9" s="14" t="str">
        <f>"F"&amp;B9</f>
        <v>F22</v>
      </c>
      <c r="D9" s="15" t="str">
        <f>"G"&amp;B9</f>
        <v>G22</v>
      </c>
    </row>
    <row r="10" spans="1:6" ht="13.5" thickBot="1" x14ac:dyDescent="0.25">
      <c r="A10" s="10"/>
      <c r="B10" s="10"/>
      <c r="C10" s="5" t="s">
        <v>20</v>
      </c>
      <c r="D10" s="5" t="s">
        <v>21</v>
      </c>
      <c r="E10" s="10"/>
    </row>
    <row r="11" spans="1:6" x14ac:dyDescent="0.2">
      <c r="A11" s="10" t="s">
        <v>16</v>
      </c>
      <c r="B11" s="10"/>
      <c r="C11" s="13">
        <f ca="1">INTERCEPT(INDIRECT($D$9):G992,INDIRECT($C$9):F992)</f>
        <v>0.19046581528720657</v>
      </c>
      <c r="D11" s="4"/>
      <c r="E11" s="10"/>
    </row>
    <row r="12" spans="1:6" x14ac:dyDescent="0.2">
      <c r="A12" s="10" t="s">
        <v>17</v>
      </c>
      <c r="B12" s="10"/>
      <c r="C12" s="13">
        <f ca="1">SLOPE(INDIRECT($D$9):G992,INDIRECT($C$9):F992)</f>
        <v>-8.0659185684758298E-6</v>
      </c>
      <c r="D12" s="4"/>
      <c r="E12" s="10"/>
    </row>
    <row r="13" spans="1:6" x14ac:dyDescent="0.2">
      <c r="A13" s="10" t="s">
        <v>19</v>
      </c>
      <c r="B13" s="10"/>
      <c r="C13" s="4" t="s">
        <v>14</v>
      </c>
    </row>
    <row r="14" spans="1:6" x14ac:dyDescent="0.2">
      <c r="A14" s="10"/>
      <c r="B14" s="10"/>
      <c r="C14" s="10"/>
    </row>
    <row r="15" spans="1:6" x14ac:dyDescent="0.2">
      <c r="A15" s="16" t="s">
        <v>18</v>
      </c>
      <c r="B15" s="10"/>
      <c r="C15" s="17">
        <f ca="1">(C7+C11)+(C8+C12)*INT(MAX(F21:F3533))</f>
        <v>56794.055618742226</v>
      </c>
      <c r="E15" s="18" t="s">
        <v>37</v>
      </c>
      <c r="F15" s="12">
        <v>1</v>
      </c>
    </row>
    <row r="16" spans="1:6" x14ac:dyDescent="0.2">
      <c r="A16" s="20" t="s">
        <v>4</v>
      </c>
      <c r="B16" s="10"/>
      <c r="C16" s="21">
        <f ca="1">+C8+C12</f>
        <v>0.64007393408143154</v>
      </c>
      <c r="E16" s="18" t="s">
        <v>34</v>
      </c>
      <c r="F16" s="19">
        <f ca="1">NOW()+15018.5+$C$5/24</f>
        <v>60324.712585069443</v>
      </c>
    </row>
    <row r="17" spans="1:18" ht="13.5" thickBot="1" x14ac:dyDescent="0.25">
      <c r="A17" s="18" t="s">
        <v>28</v>
      </c>
      <c r="B17" s="10"/>
      <c r="C17" s="10">
        <f>COUNT(C21:C2191)</f>
        <v>14</v>
      </c>
      <c r="E17" s="18" t="s">
        <v>38</v>
      </c>
      <c r="F17" s="19">
        <f ca="1">ROUND(2*(F16-$C$7)/$C$8,0)/2+F15</f>
        <v>36966</v>
      </c>
    </row>
    <row r="18" spans="1:18" ht="14.25" thickTop="1" thickBot="1" x14ac:dyDescent="0.25">
      <c r="A18" s="20" t="s">
        <v>5</v>
      </c>
      <c r="B18" s="10"/>
      <c r="C18" s="23">
        <f ca="1">+C15</f>
        <v>56794.055618742226</v>
      </c>
      <c r="D18" s="24">
        <f ca="1">+C16</f>
        <v>0.64007393408143154</v>
      </c>
      <c r="E18" s="18" t="s">
        <v>39</v>
      </c>
      <c r="F18" s="15">
        <f ca="1">ROUND(2*(F16-$C$15)/$C$16,0)/2+F15</f>
        <v>5517</v>
      </c>
    </row>
    <row r="19" spans="1:18" ht="13.5" thickTop="1" x14ac:dyDescent="0.2">
      <c r="E19" s="18" t="s">
        <v>35</v>
      </c>
      <c r="F19" s="22">
        <f ca="1">+$C$15+$C$16*F18-15018.5-$C$5/24</f>
        <v>45307.239346402821</v>
      </c>
    </row>
    <row r="20" spans="1:18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52</v>
      </c>
      <c r="I20" s="8" t="s">
        <v>55</v>
      </c>
      <c r="J20" s="8" t="s">
        <v>49</v>
      </c>
      <c r="K20" s="8" t="s">
        <v>47</v>
      </c>
      <c r="L20" s="8" t="s">
        <v>114</v>
      </c>
      <c r="M20" s="8" t="s">
        <v>115</v>
      </c>
      <c r="N20" s="8" t="s">
        <v>116</v>
      </c>
      <c r="O20" s="8" t="s">
        <v>23</v>
      </c>
      <c r="P20" s="7" t="s">
        <v>22</v>
      </c>
      <c r="Q20" s="5" t="s">
        <v>15</v>
      </c>
      <c r="R20" s="45" t="s">
        <v>44</v>
      </c>
    </row>
    <row r="21" spans="1:18" x14ac:dyDescent="0.2">
      <c r="A21" s="27" t="s">
        <v>12</v>
      </c>
      <c r="B21" s="28"/>
      <c r="C21" s="29">
        <v>36664.18</v>
      </c>
      <c r="D21" s="29" t="s">
        <v>14</v>
      </c>
      <c r="E21" s="27">
        <f t="shared" ref="E21:E34" si="0">+(C21-C$7)/C$8</f>
        <v>0</v>
      </c>
      <c r="F21" s="27">
        <f t="shared" ref="F21:F34" si="1">ROUND(2*E21,0)/2</f>
        <v>0</v>
      </c>
      <c r="G21" s="27"/>
      <c r="I21" s="30">
        <v>0</v>
      </c>
      <c r="J21" s="27"/>
      <c r="K21" s="27"/>
      <c r="L21" s="27"/>
      <c r="M21" s="27"/>
      <c r="N21" s="27"/>
      <c r="O21" s="27">
        <f t="shared" ref="O21:O34" ca="1" si="2">+C$11+C$12*F21</f>
        <v>0.19046581528720657</v>
      </c>
      <c r="P21" s="27"/>
      <c r="Q21" s="31">
        <f t="shared" ref="Q21:Q34" si="3">+C21-15018.5</f>
        <v>21645.68</v>
      </c>
      <c r="R21" s="27"/>
    </row>
    <row r="22" spans="1:18" x14ac:dyDescent="0.2">
      <c r="A22" s="27" t="s">
        <v>25</v>
      </c>
      <c r="B22" s="28"/>
      <c r="C22" s="29">
        <v>50599.427000000003</v>
      </c>
      <c r="D22" s="29">
        <v>2E-3</v>
      </c>
      <c r="E22" s="27">
        <f t="shared" si="0"/>
        <v>21771.034023765707</v>
      </c>
      <c r="F22" s="27">
        <f t="shared" si="1"/>
        <v>21771</v>
      </c>
      <c r="G22" s="27">
        <f t="shared" ref="G22:G31" si="4">+C22-(C$7+F22*C$8)</f>
        <v>2.1778000002086628E-2</v>
      </c>
      <c r="H22" s="27"/>
      <c r="I22" s="27">
        <f>G22</f>
        <v>2.1778000002086628E-2</v>
      </c>
      <c r="J22" s="27"/>
      <c r="K22" s="27"/>
      <c r="L22" s="27"/>
      <c r="M22" s="27"/>
      <c r="N22" s="27"/>
      <c r="O22" s="27">
        <f t="shared" ca="1" si="2"/>
        <v>1.4862702132919292E-2</v>
      </c>
      <c r="P22" s="27"/>
      <c r="Q22" s="31">
        <f t="shared" si="3"/>
        <v>35580.927000000003</v>
      </c>
      <c r="R22" s="27"/>
    </row>
    <row r="23" spans="1:18" x14ac:dyDescent="0.2">
      <c r="A23" s="27" t="s">
        <v>26</v>
      </c>
      <c r="B23" s="28" t="s">
        <v>27</v>
      </c>
      <c r="C23" s="29">
        <v>50902.483999999997</v>
      </c>
      <c r="D23" s="29">
        <v>3.0000000000000001E-3</v>
      </c>
      <c r="E23" s="27">
        <f t="shared" si="0"/>
        <v>22244.4999234473</v>
      </c>
      <c r="F23" s="27">
        <f t="shared" si="1"/>
        <v>22244.5</v>
      </c>
      <c r="G23" s="27">
        <f t="shared" si="4"/>
        <v>-4.9000002036336809E-5</v>
      </c>
      <c r="H23" s="27"/>
      <c r="I23" s="27">
        <f>G23</f>
        <v>-4.9000002036336809E-5</v>
      </c>
      <c r="J23" s="27"/>
      <c r="K23" s="27"/>
      <c r="L23" s="27"/>
      <c r="M23" s="27"/>
      <c r="N23" s="27"/>
      <c r="O23" s="27">
        <f t="shared" ca="1" si="2"/>
        <v>1.1043489690745978E-2</v>
      </c>
      <c r="P23" s="27"/>
      <c r="Q23" s="31">
        <f t="shared" si="3"/>
        <v>35883.983999999997</v>
      </c>
      <c r="R23" s="27"/>
    </row>
    <row r="24" spans="1:18" x14ac:dyDescent="0.2">
      <c r="A24" s="60" t="s">
        <v>71</v>
      </c>
      <c r="B24" s="61" t="s">
        <v>27</v>
      </c>
      <c r="C24" s="60">
        <v>53125.149599999997</v>
      </c>
      <c r="D24" s="60" t="s">
        <v>55</v>
      </c>
      <c r="E24" s="27">
        <f t="shared" si="0"/>
        <v>25716.970013217051</v>
      </c>
      <c r="F24" s="27">
        <f t="shared" si="1"/>
        <v>25717</v>
      </c>
      <c r="G24" s="27">
        <f t="shared" si="4"/>
        <v>-1.9194000000425149E-2</v>
      </c>
      <c r="H24" s="27"/>
      <c r="I24" s="27"/>
      <c r="K24" s="27">
        <f>G24</f>
        <v>-1.9194000000425149E-2</v>
      </c>
      <c r="L24" s="27"/>
      <c r="M24" s="27"/>
      <c r="N24" s="27"/>
      <c r="O24" s="27">
        <f t="shared" ca="1" si="2"/>
        <v>-1.6965412538286345E-2</v>
      </c>
      <c r="P24" s="27"/>
      <c r="Q24" s="31">
        <f t="shared" si="3"/>
        <v>38106.649599999997</v>
      </c>
      <c r="R24" s="27"/>
    </row>
    <row r="25" spans="1:18" x14ac:dyDescent="0.2">
      <c r="A25" s="32" t="s">
        <v>31</v>
      </c>
      <c r="B25" s="33"/>
      <c r="C25" s="34">
        <v>53509.5285</v>
      </c>
      <c r="D25" s="34">
        <v>8.3000000000000001E-3</v>
      </c>
      <c r="E25" s="27">
        <f t="shared" si="0"/>
        <v>26317.485103471117</v>
      </c>
      <c r="F25" s="27">
        <f t="shared" si="1"/>
        <v>26317.5</v>
      </c>
      <c r="G25" s="27">
        <f t="shared" si="4"/>
        <v>-9.5350000046892092E-3</v>
      </c>
      <c r="H25" s="27"/>
      <c r="I25" s="27"/>
      <c r="J25" s="27">
        <f>G25</f>
        <v>-9.5350000046892092E-3</v>
      </c>
      <c r="K25" s="27"/>
      <c r="L25" s="27"/>
      <c r="M25" s="27"/>
      <c r="N25" s="27"/>
      <c r="O25" s="27">
        <f t="shared" ca="1" si="2"/>
        <v>-2.180899663865607E-2</v>
      </c>
      <c r="P25" s="27"/>
      <c r="Q25" s="31">
        <f t="shared" si="3"/>
        <v>38491.0285</v>
      </c>
      <c r="R25" s="27"/>
    </row>
    <row r="26" spans="1:18" x14ac:dyDescent="0.2">
      <c r="A26" s="32" t="s">
        <v>31</v>
      </c>
      <c r="B26" s="33"/>
      <c r="C26" s="34">
        <v>53510.466</v>
      </c>
      <c r="D26" s="34">
        <v>8.3000000000000001E-3</v>
      </c>
      <c r="E26" s="27">
        <f t="shared" si="0"/>
        <v>26318.949759562056</v>
      </c>
      <c r="F26" s="27">
        <f t="shared" si="1"/>
        <v>26319</v>
      </c>
      <c r="G26" s="27">
        <f t="shared" si="4"/>
        <v>-3.2158000001800247E-2</v>
      </c>
      <c r="H26" s="27"/>
      <c r="I26" s="27"/>
      <c r="J26" s="27">
        <f>G26</f>
        <v>-3.2158000001800247E-2</v>
      </c>
      <c r="K26" s="27"/>
      <c r="L26" s="27"/>
      <c r="M26" s="27"/>
      <c r="N26" s="27"/>
      <c r="O26" s="27">
        <f t="shared" ca="1" si="2"/>
        <v>-2.1821095516508793E-2</v>
      </c>
      <c r="P26" s="27"/>
      <c r="Q26" s="31">
        <f t="shared" si="3"/>
        <v>38491.966</v>
      </c>
      <c r="R26" s="27"/>
    </row>
    <row r="27" spans="1:18" x14ac:dyDescent="0.2">
      <c r="A27" s="60" t="s">
        <v>86</v>
      </c>
      <c r="B27" s="61" t="s">
        <v>27</v>
      </c>
      <c r="C27" s="60">
        <v>55012.432800000002</v>
      </c>
      <c r="D27" s="60" t="s">
        <v>55</v>
      </c>
      <c r="E27" s="27">
        <f t="shared" si="0"/>
        <v>28665.472236369718</v>
      </c>
      <c r="F27" s="27">
        <f t="shared" si="1"/>
        <v>28665.5</v>
      </c>
      <c r="G27" s="27">
        <f t="shared" si="4"/>
        <v>-1.7770999998901971E-2</v>
      </c>
      <c r="H27" s="27"/>
      <c r="I27" s="27"/>
      <c r="K27" s="27">
        <f>G27</f>
        <v>-1.7770999998901971E-2</v>
      </c>
      <c r="L27" s="27"/>
      <c r="M27" s="27"/>
      <c r="N27" s="27"/>
      <c r="O27" s="27">
        <f t="shared" ca="1" si="2"/>
        <v>-4.0747773437437323E-2</v>
      </c>
      <c r="P27" s="27"/>
      <c r="Q27" s="31">
        <f t="shared" si="3"/>
        <v>39993.932800000002</v>
      </c>
      <c r="R27" s="27"/>
    </row>
    <row r="28" spans="1:18" x14ac:dyDescent="0.2">
      <c r="A28" s="60" t="s">
        <v>91</v>
      </c>
      <c r="B28" s="61" t="s">
        <v>27</v>
      </c>
      <c r="C28" s="60">
        <v>55636.79</v>
      </c>
      <c r="D28" s="60" t="s">
        <v>55</v>
      </c>
      <c r="E28" s="27">
        <f t="shared" si="0"/>
        <v>29640.905383997673</v>
      </c>
      <c r="F28" s="27">
        <f t="shared" si="1"/>
        <v>29641</v>
      </c>
      <c r="G28" s="27">
        <f t="shared" si="4"/>
        <v>-6.0562000006029848E-2</v>
      </c>
      <c r="H28" s="27"/>
      <c r="I28" s="27">
        <f>G28</f>
        <v>-6.0562000006029848E-2</v>
      </c>
      <c r="L28" s="27"/>
      <c r="M28" s="27"/>
      <c r="N28" s="27"/>
      <c r="O28" s="27">
        <f t="shared" ca="1" si="2"/>
        <v>-4.8616077000985497E-2</v>
      </c>
      <c r="P28" s="27"/>
      <c r="Q28" s="31">
        <f t="shared" si="3"/>
        <v>40618.29</v>
      </c>
      <c r="R28" s="27"/>
    </row>
    <row r="29" spans="1:18" x14ac:dyDescent="0.2">
      <c r="A29" s="35" t="s">
        <v>40</v>
      </c>
      <c r="B29" s="36" t="s">
        <v>27</v>
      </c>
      <c r="C29" s="35">
        <v>55648.629300000001</v>
      </c>
      <c r="D29" s="35">
        <v>1.5E-3</v>
      </c>
      <c r="E29" s="27">
        <f t="shared" si="0"/>
        <v>29659.40192037895</v>
      </c>
      <c r="F29" s="27">
        <f t="shared" si="1"/>
        <v>29659.5</v>
      </c>
      <c r="G29" s="27">
        <f t="shared" si="4"/>
        <v>-6.2778999999864027E-2</v>
      </c>
      <c r="H29" s="27"/>
      <c r="I29" s="27"/>
      <c r="J29" s="27">
        <f>G29</f>
        <v>-6.2778999999864027E-2</v>
      </c>
      <c r="K29" s="27"/>
      <c r="L29" s="27"/>
      <c r="M29" s="27"/>
      <c r="N29" s="27"/>
      <c r="O29" s="27">
        <f t="shared" ca="1" si="2"/>
        <v>-4.8765296494502286E-2</v>
      </c>
      <c r="P29" s="27"/>
      <c r="Q29" s="31">
        <f t="shared" si="3"/>
        <v>40630.129300000001</v>
      </c>
      <c r="R29" s="27"/>
    </row>
    <row r="30" spans="1:18" x14ac:dyDescent="0.2">
      <c r="A30" s="60" t="s">
        <v>95</v>
      </c>
      <c r="B30" s="61" t="s">
        <v>27</v>
      </c>
      <c r="C30" s="60">
        <v>55649.613799999999</v>
      </c>
      <c r="D30" s="60" t="s">
        <v>55</v>
      </c>
      <c r="E30" s="27">
        <f t="shared" si="0"/>
        <v>29660.940004561911</v>
      </c>
      <c r="F30" s="27">
        <f t="shared" si="1"/>
        <v>29661</v>
      </c>
      <c r="G30" s="27">
        <f t="shared" si="4"/>
        <v>-3.840199999831384E-2</v>
      </c>
      <c r="H30" s="27"/>
      <c r="I30" s="27"/>
      <c r="K30" s="27">
        <f>G30</f>
        <v>-3.840199999831384E-2</v>
      </c>
      <c r="L30" s="27"/>
      <c r="M30" s="27"/>
      <c r="N30" s="27"/>
      <c r="O30" s="27">
        <f t="shared" ca="1" si="2"/>
        <v>-4.8777395372355009E-2</v>
      </c>
      <c r="P30" s="27"/>
      <c r="Q30" s="31">
        <f t="shared" si="3"/>
        <v>40631.113799999999</v>
      </c>
      <c r="R30" s="27"/>
    </row>
    <row r="31" spans="1:18" x14ac:dyDescent="0.2">
      <c r="A31" s="35" t="s">
        <v>40</v>
      </c>
      <c r="B31" s="36" t="s">
        <v>41</v>
      </c>
      <c r="C31" s="35">
        <v>55649.613899999997</v>
      </c>
      <c r="D31" s="35">
        <v>2.0999999999999999E-3</v>
      </c>
      <c r="E31" s="27">
        <f t="shared" si="0"/>
        <v>29660.940160791892</v>
      </c>
      <c r="F31" s="27">
        <f t="shared" si="1"/>
        <v>29661</v>
      </c>
      <c r="G31" s="27">
        <f t="shared" si="4"/>
        <v>-3.8302000000840053E-2</v>
      </c>
      <c r="H31" s="27"/>
      <c r="I31" s="27"/>
      <c r="J31" s="27">
        <f>G31</f>
        <v>-3.8302000000840053E-2</v>
      </c>
      <c r="K31" s="27"/>
      <c r="L31" s="27"/>
      <c r="M31" s="27"/>
      <c r="N31" s="27"/>
      <c r="O31" s="27">
        <f t="shared" ca="1" si="2"/>
        <v>-4.8777395372355009E-2</v>
      </c>
      <c r="P31" s="27"/>
      <c r="Q31" s="31">
        <f t="shared" si="3"/>
        <v>40631.113899999997</v>
      </c>
      <c r="R31" s="27"/>
    </row>
    <row r="32" spans="1:18" x14ac:dyDescent="0.2">
      <c r="A32" s="40" t="s">
        <v>43</v>
      </c>
      <c r="B32" s="41" t="s">
        <v>41</v>
      </c>
      <c r="C32" s="42">
        <v>55682.377</v>
      </c>
      <c r="D32" s="43">
        <v>1E-3</v>
      </c>
      <c r="E32" s="27">
        <f t="shared" si="0"/>
        <v>29712.125946363121</v>
      </c>
      <c r="F32" s="27">
        <f t="shared" si="1"/>
        <v>29712</v>
      </c>
      <c r="H32" s="27"/>
      <c r="I32" s="27"/>
      <c r="K32" s="27"/>
      <c r="L32" s="27"/>
      <c r="M32" s="27"/>
      <c r="N32" s="27"/>
      <c r="O32" s="27">
        <f t="shared" ca="1" si="2"/>
        <v>-4.918875721934729E-2</v>
      </c>
      <c r="P32" s="27"/>
      <c r="Q32" s="31">
        <f t="shared" si="3"/>
        <v>40663.877</v>
      </c>
      <c r="R32" s="44">
        <f>+C32-(C$7+F32*C$8)</f>
        <v>8.0615999999281485E-2</v>
      </c>
    </row>
    <row r="33" spans="1:18" x14ac:dyDescent="0.2">
      <c r="A33" s="37" t="s">
        <v>42</v>
      </c>
      <c r="B33" s="38" t="s">
        <v>41</v>
      </c>
      <c r="C33" s="39">
        <v>56002.590799999998</v>
      </c>
      <c r="D33" s="39">
        <v>2.7000000000000001E-3</v>
      </c>
      <c r="E33" s="27">
        <f t="shared" si="0"/>
        <v>30212.395911773798</v>
      </c>
      <c r="F33" s="27">
        <f t="shared" si="1"/>
        <v>30212.5</v>
      </c>
      <c r="G33" s="27">
        <f>+C33-(C$7+F33*C$8)</f>
        <v>-6.6624999999476131E-2</v>
      </c>
      <c r="H33" s="27"/>
      <c r="I33" s="27"/>
      <c r="J33" s="27">
        <f>G33</f>
        <v>-6.6624999999476131E-2</v>
      </c>
      <c r="L33" s="27"/>
      <c r="M33" s="27"/>
      <c r="N33" s="27"/>
      <c r="O33" s="27">
        <f t="shared" ca="1" si="2"/>
        <v>-5.3225749462869426E-2</v>
      </c>
      <c r="P33" s="27"/>
      <c r="Q33" s="31">
        <f t="shared" si="3"/>
        <v>40984.090799999998</v>
      </c>
      <c r="R33" s="27"/>
    </row>
    <row r="34" spans="1:18" x14ac:dyDescent="0.2">
      <c r="A34" s="62" t="s">
        <v>117</v>
      </c>
      <c r="B34" s="63"/>
      <c r="C34" s="62">
        <v>56794.474300000002</v>
      </c>
      <c r="D34" s="62">
        <v>4.0000000000000001E-3</v>
      </c>
      <c r="E34" s="27">
        <f t="shared" si="0"/>
        <v>31449.555369468286</v>
      </c>
      <c r="F34" s="27">
        <f t="shared" si="1"/>
        <v>31449.5</v>
      </c>
      <c r="H34" s="27"/>
      <c r="I34" s="27"/>
      <c r="K34" s="27"/>
      <c r="L34" s="27"/>
      <c r="M34" s="27"/>
      <c r="N34" s="27"/>
      <c r="O34" s="27">
        <f t="shared" ca="1" si="2"/>
        <v>-6.3203290732074036E-2</v>
      </c>
      <c r="P34" s="27"/>
      <c r="Q34" s="31">
        <f t="shared" si="3"/>
        <v>41775.974300000002</v>
      </c>
      <c r="R34" s="27">
        <f>+C34-(C$7+F34*C$8)</f>
        <v>3.5440999999991618E-2</v>
      </c>
    </row>
    <row r="35" spans="1:18" x14ac:dyDescent="0.2">
      <c r="A35" s="27"/>
      <c r="B35" s="28"/>
      <c r="C35" s="29"/>
      <c r="D35" s="29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1:18" x14ac:dyDescent="0.2">
      <c r="C36" s="47"/>
      <c r="D36" s="47"/>
    </row>
    <row r="37" spans="1:18" x14ac:dyDescent="0.2">
      <c r="C37" s="47"/>
      <c r="D37" s="47"/>
    </row>
    <row r="38" spans="1:18" x14ac:dyDescent="0.2">
      <c r="C38" s="47"/>
      <c r="D38" s="47"/>
    </row>
    <row r="39" spans="1:18" x14ac:dyDescent="0.2">
      <c r="C39" s="47"/>
      <c r="D39" s="47"/>
    </row>
    <row r="40" spans="1:18" x14ac:dyDescent="0.2">
      <c r="C40" s="47"/>
      <c r="D40" s="47"/>
    </row>
    <row r="41" spans="1:18" x14ac:dyDescent="0.2">
      <c r="C41" s="47"/>
      <c r="D41" s="47"/>
    </row>
    <row r="42" spans="1:18" x14ac:dyDescent="0.2">
      <c r="C42" s="47"/>
      <c r="D42" s="47"/>
    </row>
    <row r="43" spans="1:18" x14ac:dyDescent="0.2">
      <c r="C43" s="47"/>
      <c r="D43" s="47"/>
    </row>
    <row r="44" spans="1:18" x14ac:dyDescent="0.2">
      <c r="C44" s="47"/>
      <c r="D44" s="47"/>
    </row>
    <row r="45" spans="1:18" x14ac:dyDescent="0.2">
      <c r="C45" s="47"/>
      <c r="D45" s="47"/>
    </row>
    <row r="46" spans="1:18" x14ac:dyDescent="0.2">
      <c r="C46" s="47"/>
      <c r="D46" s="47"/>
    </row>
    <row r="47" spans="1:18" x14ac:dyDescent="0.2">
      <c r="C47" s="47"/>
      <c r="D47" s="47"/>
    </row>
    <row r="48" spans="1:18" x14ac:dyDescent="0.2">
      <c r="C48" s="47"/>
      <c r="D48" s="47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2"/>
  <sheetViews>
    <sheetView workbookViewId="0">
      <selection activeCell="A18" sqref="A18:D22"/>
    </sheetView>
  </sheetViews>
  <sheetFormatPr defaultRowHeight="12.75" x14ac:dyDescent="0.2"/>
  <cols>
    <col min="1" max="1" width="19.7109375" style="47" customWidth="1"/>
    <col min="2" max="2" width="4.42578125" style="10" customWidth="1"/>
    <col min="3" max="3" width="12.7109375" style="47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47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6" t="s">
        <v>45</v>
      </c>
      <c r="I1" s="48" t="s">
        <v>46</v>
      </c>
      <c r="J1" s="49" t="s">
        <v>47</v>
      </c>
    </row>
    <row r="2" spans="1:16" x14ac:dyDescent="0.2">
      <c r="I2" s="50" t="s">
        <v>48</v>
      </c>
      <c r="J2" s="51" t="s">
        <v>49</v>
      </c>
    </row>
    <row r="3" spans="1:16" x14ac:dyDescent="0.2">
      <c r="A3" s="52" t="s">
        <v>50</v>
      </c>
      <c r="I3" s="50" t="s">
        <v>51</v>
      </c>
      <c r="J3" s="51" t="s">
        <v>52</v>
      </c>
    </row>
    <row r="4" spans="1:16" x14ac:dyDescent="0.2">
      <c r="I4" s="50" t="s">
        <v>53</v>
      </c>
      <c r="J4" s="51" t="s">
        <v>52</v>
      </c>
    </row>
    <row r="5" spans="1:16" ht="13.5" thickBot="1" x14ac:dyDescent="0.25">
      <c r="I5" s="53" t="s">
        <v>54</v>
      </c>
      <c r="J5" s="54" t="s">
        <v>55</v>
      </c>
    </row>
    <row r="10" spans="1:16" ht="13.5" thickBot="1" x14ac:dyDescent="0.25"/>
    <row r="11" spans="1:16" ht="12.75" customHeight="1" thickBot="1" x14ac:dyDescent="0.25">
      <c r="A11" s="47" t="str">
        <f t="shared" ref="A11:A22" si="0">P11</f>
        <v> BBS 114 </v>
      </c>
      <c r="B11" s="4" t="str">
        <f t="shared" ref="B11:B22" si="1">IF(H11=INT(H11),"I","II")</f>
        <v>II</v>
      </c>
      <c r="C11" s="47">
        <f t="shared" ref="C11:C22" si="2">1*G11</f>
        <v>50599.427000000003</v>
      </c>
      <c r="D11" s="10" t="str">
        <f t="shared" ref="D11:D22" si="3">VLOOKUP(F11,I$1:J$5,2,FALSE)</f>
        <v>vis</v>
      </c>
      <c r="E11" s="55">
        <f>VLOOKUP(C11,Active!C$21:E$973,3,FALSE)</f>
        <v>21771.034023765707</v>
      </c>
      <c r="F11" s="4" t="s">
        <v>54</v>
      </c>
      <c r="G11" s="10" t="str">
        <f t="shared" ref="G11:G22" si="4">MID(I11,3,LEN(I11)-3)</f>
        <v>50599.427</v>
      </c>
      <c r="H11" s="47">
        <f t="shared" ref="H11:H22" si="5">1*K11</f>
        <v>-12265.5</v>
      </c>
      <c r="I11" s="56" t="s">
        <v>56</v>
      </c>
      <c r="J11" s="57" t="s">
        <v>57</v>
      </c>
      <c r="K11" s="56">
        <v>-12265.5</v>
      </c>
      <c r="L11" s="56" t="s">
        <v>58</v>
      </c>
      <c r="M11" s="57" t="s">
        <v>59</v>
      </c>
      <c r="N11" s="57" t="s">
        <v>60</v>
      </c>
      <c r="O11" s="58" t="s">
        <v>61</v>
      </c>
      <c r="P11" s="58" t="s">
        <v>62</v>
      </c>
    </row>
    <row r="12" spans="1:16" ht="12.75" customHeight="1" thickBot="1" x14ac:dyDescent="0.25">
      <c r="A12" s="47" t="str">
        <f t="shared" si="0"/>
        <v> BBS 117 </v>
      </c>
      <c r="B12" s="4" t="str">
        <f t="shared" si="1"/>
        <v>II</v>
      </c>
      <c r="C12" s="47">
        <f t="shared" si="2"/>
        <v>50902.483999999997</v>
      </c>
      <c r="D12" s="10" t="str">
        <f t="shared" si="3"/>
        <v>vis</v>
      </c>
      <c r="E12" s="55">
        <f>VLOOKUP(C12,Active!C$21:E$973,3,FALSE)</f>
        <v>22244.4999234473</v>
      </c>
      <c r="F12" s="4" t="s">
        <v>54</v>
      </c>
      <c r="G12" s="10" t="str">
        <f t="shared" si="4"/>
        <v>50902.484</v>
      </c>
      <c r="H12" s="47">
        <f t="shared" si="5"/>
        <v>-11318.5</v>
      </c>
      <c r="I12" s="56" t="s">
        <v>63</v>
      </c>
      <c r="J12" s="57" t="s">
        <v>64</v>
      </c>
      <c r="K12" s="56">
        <v>-11318.5</v>
      </c>
      <c r="L12" s="56" t="s">
        <v>65</v>
      </c>
      <c r="M12" s="57" t="s">
        <v>59</v>
      </c>
      <c r="N12" s="57" t="s">
        <v>60</v>
      </c>
      <c r="O12" s="58" t="s">
        <v>61</v>
      </c>
      <c r="P12" s="58" t="s">
        <v>66</v>
      </c>
    </row>
    <row r="13" spans="1:16" ht="12.75" customHeight="1" thickBot="1" x14ac:dyDescent="0.25">
      <c r="A13" s="47" t="str">
        <f t="shared" si="0"/>
        <v>BAVM 178 </v>
      </c>
      <c r="B13" s="4" t="str">
        <f t="shared" si="1"/>
        <v>II</v>
      </c>
      <c r="C13" s="47">
        <f t="shared" si="2"/>
        <v>53509.5285</v>
      </c>
      <c r="D13" s="10" t="str">
        <f t="shared" si="3"/>
        <v>vis</v>
      </c>
      <c r="E13" s="55">
        <f>VLOOKUP(C13,Active!C$21:E$973,3,FALSE)</f>
        <v>26317.485103471117</v>
      </c>
      <c r="F13" s="4" t="s">
        <v>54</v>
      </c>
      <c r="G13" s="10" t="str">
        <f t="shared" si="4"/>
        <v>53509.5285</v>
      </c>
      <c r="H13" s="47">
        <f t="shared" si="5"/>
        <v>-3172.5</v>
      </c>
      <c r="I13" s="56" t="s">
        <v>72</v>
      </c>
      <c r="J13" s="57" t="s">
        <v>73</v>
      </c>
      <c r="K13" s="56">
        <v>-3172.5</v>
      </c>
      <c r="L13" s="56" t="s">
        <v>74</v>
      </c>
      <c r="M13" s="57" t="s">
        <v>75</v>
      </c>
      <c r="N13" s="57" t="s">
        <v>76</v>
      </c>
      <c r="O13" s="58" t="s">
        <v>77</v>
      </c>
      <c r="P13" s="59" t="s">
        <v>78</v>
      </c>
    </row>
    <row r="14" spans="1:16" ht="12.75" customHeight="1" thickBot="1" x14ac:dyDescent="0.25">
      <c r="A14" s="47" t="str">
        <f t="shared" si="0"/>
        <v>BAVM 178 </v>
      </c>
      <c r="B14" s="4" t="str">
        <f t="shared" si="1"/>
        <v>II</v>
      </c>
      <c r="C14" s="47">
        <f t="shared" si="2"/>
        <v>53510.466</v>
      </c>
      <c r="D14" s="10" t="str">
        <f t="shared" si="3"/>
        <v>vis</v>
      </c>
      <c r="E14" s="55">
        <f>VLOOKUP(C14,Active!C$21:E$973,3,FALSE)</f>
        <v>26318.949759562056</v>
      </c>
      <c r="F14" s="4" t="s">
        <v>54</v>
      </c>
      <c r="G14" s="10" t="str">
        <f t="shared" si="4"/>
        <v>53510.4660</v>
      </c>
      <c r="H14" s="47">
        <f t="shared" si="5"/>
        <v>-3169.5</v>
      </c>
      <c r="I14" s="56" t="s">
        <v>79</v>
      </c>
      <c r="J14" s="57" t="s">
        <v>80</v>
      </c>
      <c r="K14" s="56">
        <v>-3169.5</v>
      </c>
      <c r="L14" s="56" t="s">
        <v>81</v>
      </c>
      <c r="M14" s="57" t="s">
        <v>75</v>
      </c>
      <c r="N14" s="57" t="s">
        <v>76</v>
      </c>
      <c r="O14" s="58" t="s">
        <v>77</v>
      </c>
      <c r="P14" s="59" t="s">
        <v>78</v>
      </c>
    </row>
    <row r="15" spans="1:16" ht="12.75" customHeight="1" thickBot="1" x14ac:dyDescent="0.25">
      <c r="A15" s="47" t="str">
        <f t="shared" si="0"/>
        <v>BAVM 220 </v>
      </c>
      <c r="B15" s="4" t="str">
        <f t="shared" si="1"/>
        <v>II</v>
      </c>
      <c r="C15" s="47">
        <f t="shared" si="2"/>
        <v>55648.629300000001</v>
      </c>
      <c r="D15" s="10" t="str">
        <f t="shared" si="3"/>
        <v>vis</v>
      </c>
      <c r="E15" s="55">
        <f>VLOOKUP(C15,Active!C$21:E$973,3,FALSE)</f>
        <v>29659.40192037895</v>
      </c>
      <c r="F15" s="4" t="s">
        <v>54</v>
      </c>
      <c r="G15" s="10" t="str">
        <f t="shared" si="4"/>
        <v>55648.6293</v>
      </c>
      <c r="H15" s="47">
        <f t="shared" si="5"/>
        <v>3511.5</v>
      </c>
      <c r="I15" s="56" t="s">
        <v>92</v>
      </c>
      <c r="J15" s="57" t="s">
        <v>93</v>
      </c>
      <c r="K15" s="56">
        <v>3511.5</v>
      </c>
      <c r="L15" s="56" t="s">
        <v>94</v>
      </c>
      <c r="M15" s="57" t="s">
        <v>75</v>
      </c>
      <c r="N15" s="57" t="s">
        <v>76</v>
      </c>
      <c r="O15" s="58" t="s">
        <v>77</v>
      </c>
      <c r="P15" s="59" t="s">
        <v>95</v>
      </c>
    </row>
    <row r="16" spans="1:16" ht="12.75" customHeight="1" thickBot="1" x14ac:dyDescent="0.25">
      <c r="A16" s="47" t="str">
        <f t="shared" si="0"/>
        <v>BAVM 234 </v>
      </c>
      <c r="B16" s="4" t="str">
        <f t="shared" si="1"/>
        <v>I</v>
      </c>
      <c r="C16" s="47">
        <f t="shared" si="2"/>
        <v>55682.377</v>
      </c>
      <c r="D16" s="10" t="str">
        <f t="shared" si="3"/>
        <v>vis</v>
      </c>
      <c r="E16" s="55">
        <f>VLOOKUP(C16,Active!C$21:E$973,3,FALSE)</f>
        <v>29712.125946363121</v>
      </c>
      <c r="F16" s="4" t="s">
        <v>54</v>
      </c>
      <c r="G16" s="10" t="str">
        <f t="shared" si="4"/>
        <v>55682.377</v>
      </c>
      <c r="H16" s="47">
        <f t="shared" si="5"/>
        <v>3617</v>
      </c>
      <c r="I16" s="56" t="s">
        <v>99</v>
      </c>
      <c r="J16" s="57" t="s">
        <v>100</v>
      </c>
      <c r="K16" s="56">
        <v>3617</v>
      </c>
      <c r="L16" s="56" t="s">
        <v>101</v>
      </c>
      <c r="M16" s="57" t="s">
        <v>75</v>
      </c>
      <c r="N16" s="57" t="s">
        <v>76</v>
      </c>
      <c r="O16" s="58" t="s">
        <v>102</v>
      </c>
      <c r="P16" s="59" t="s">
        <v>103</v>
      </c>
    </row>
    <row r="17" spans="1:16" ht="12.75" customHeight="1" thickBot="1" x14ac:dyDescent="0.25">
      <c r="A17" s="47" t="str">
        <f t="shared" si="0"/>
        <v>BAVM 228 </v>
      </c>
      <c r="B17" s="4" t="str">
        <f t="shared" si="1"/>
        <v>II</v>
      </c>
      <c r="C17" s="47">
        <f t="shared" si="2"/>
        <v>56002.590799999998</v>
      </c>
      <c r="D17" s="10" t="str">
        <f t="shared" si="3"/>
        <v>vis</v>
      </c>
      <c r="E17" s="55">
        <f>VLOOKUP(C17,Active!C$21:E$973,3,FALSE)</f>
        <v>30212.395911773798</v>
      </c>
      <c r="F17" s="4" t="s">
        <v>54</v>
      </c>
      <c r="G17" s="10" t="str">
        <f t="shared" si="4"/>
        <v>56002.5908</v>
      </c>
      <c r="H17" s="47">
        <f t="shared" si="5"/>
        <v>4617.5</v>
      </c>
      <c r="I17" s="56" t="s">
        <v>104</v>
      </c>
      <c r="J17" s="57" t="s">
        <v>105</v>
      </c>
      <c r="K17" s="56">
        <v>4617.5</v>
      </c>
      <c r="L17" s="56" t="s">
        <v>106</v>
      </c>
      <c r="M17" s="57" t="s">
        <v>75</v>
      </c>
      <c r="N17" s="57" t="s">
        <v>76</v>
      </c>
      <c r="O17" s="58" t="s">
        <v>77</v>
      </c>
      <c r="P17" s="59" t="s">
        <v>107</v>
      </c>
    </row>
    <row r="18" spans="1:16" ht="12.75" customHeight="1" thickBot="1" x14ac:dyDescent="0.25">
      <c r="A18" s="47" t="str">
        <f t="shared" si="0"/>
        <v>VSB 43 </v>
      </c>
      <c r="B18" s="4" t="str">
        <f t="shared" si="1"/>
        <v>II</v>
      </c>
      <c r="C18" s="47">
        <f t="shared" si="2"/>
        <v>53125.149599999997</v>
      </c>
      <c r="D18" s="10" t="str">
        <f t="shared" si="3"/>
        <v>vis</v>
      </c>
      <c r="E18" s="55">
        <f>VLOOKUP(C18,Active!C$21:E$973,3,FALSE)</f>
        <v>25716.970013217051</v>
      </c>
      <c r="F18" s="4" t="s">
        <v>54</v>
      </c>
      <c r="G18" s="10" t="str">
        <f t="shared" si="4"/>
        <v>53125.1496</v>
      </c>
      <c r="H18" s="47">
        <f t="shared" si="5"/>
        <v>-4373.5</v>
      </c>
      <c r="I18" s="56" t="s">
        <v>67</v>
      </c>
      <c r="J18" s="57" t="s">
        <v>68</v>
      </c>
      <c r="K18" s="56">
        <v>-4373.5</v>
      </c>
      <c r="L18" s="56" t="s">
        <v>69</v>
      </c>
      <c r="M18" s="57" t="s">
        <v>59</v>
      </c>
      <c r="N18" s="57" t="s">
        <v>60</v>
      </c>
      <c r="O18" s="58" t="s">
        <v>70</v>
      </c>
      <c r="P18" s="59" t="s">
        <v>71</v>
      </c>
    </row>
    <row r="19" spans="1:16" ht="12.75" customHeight="1" thickBot="1" x14ac:dyDescent="0.25">
      <c r="A19" s="47" t="str">
        <f t="shared" si="0"/>
        <v>BAVM 212 </v>
      </c>
      <c r="B19" s="4" t="str">
        <f t="shared" si="1"/>
        <v>II</v>
      </c>
      <c r="C19" s="47">
        <f t="shared" si="2"/>
        <v>55012.432800000002</v>
      </c>
      <c r="D19" s="10" t="str">
        <f t="shared" si="3"/>
        <v>vis</v>
      </c>
      <c r="E19" s="55">
        <f>VLOOKUP(C19,Active!C$21:E$973,3,FALSE)</f>
        <v>28665.472236369718</v>
      </c>
      <c r="F19" s="4" t="s">
        <v>54</v>
      </c>
      <c r="G19" s="10" t="str">
        <f t="shared" si="4"/>
        <v>55012.4328</v>
      </c>
      <c r="H19" s="47">
        <f t="shared" si="5"/>
        <v>1523.5</v>
      </c>
      <c r="I19" s="56" t="s">
        <v>82</v>
      </c>
      <c r="J19" s="57" t="s">
        <v>83</v>
      </c>
      <c r="K19" s="56">
        <v>1523.5</v>
      </c>
      <c r="L19" s="56" t="s">
        <v>84</v>
      </c>
      <c r="M19" s="57" t="s">
        <v>75</v>
      </c>
      <c r="N19" s="57" t="s">
        <v>76</v>
      </c>
      <c r="O19" s="58" t="s">
        <v>85</v>
      </c>
      <c r="P19" s="59" t="s">
        <v>86</v>
      </c>
    </row>
    <row r="20" spans="1:16" ht="12.75" customHeight="1" thickBot="1" x14ac:dyDescent="0.25">
      <c r="A20" s="47" t="str">
        <f t="shared" si="0"/>
        <v>OEJV 0162 </v>
      </c>
      <c r="B20" s="4" t="str">
        <f t="shared" si="1"/>
        <v>II</v>
      </c>
      <c r="C20" s="47">
        <f t="shared" si="2"/>
        <v>55636.79</v>
      </c>
      <c r="D20" s="10" t="str">
        <f t="shared" si="3"/>
        <v>vis</v>
      </c>
      <c r="E20" s="55">
        <f>VLOOKUP(C20,Active!C$21:E$973,3,FALSE)</f>
        <v>29640.905383997673</v>
      </c>
      <c r="F20" s="4" t="s">
        <v>54</v>
      </c>
      <c r="G20" s="10" t="str">
        <f t="shared" si="4"/>
        <v>55636.790</v>
      </c>
      <c r="H20" s="47">
        <f t="shared" si="5"/>
        <v>3474.5</v>
      </c>
      <c r="I20" s="56" t="s">
        <v>87</v>
      </c>
      <c r="J20" s="57" t="s">
        <v>88</v>
      </c>
      <c r="K20" s="56">
        <v>3474.5</v>
      </c>
      <c r="L20" s="56" t="s">
        <v>89</v>
      </c>
      <c r="M20" s="57" t="s">
        <v>75</v>
      </c>
      <c r="N20" s="57" t="s">
        <v>76</v>
      </c>
      <c r="O20" s="58" t="s">
        <v>90</v>
      </c>
      <c r="P20" s="59" t="s">
        <v>91</v>
      </c>
    </row>
    <row r="21" spans="1:16" ht="12.75" customHeight="1" thickBot="1" x14ac:dyDescent="0.25">
      <c r="A21" s="47" t="str">
        <f t="shared" si="0"/>
        <v>BAVM 220 </v>
      </c>
      <c r="B21" s="4" t="str">
        <f t="shared" si="1"/>
        <v>II</v>
      </c>
      <c r="C21" s="47">
        <f t="shared" si="2"/>
        <v>55649.613799999999</v>
      </c>
      <c r="D21" s="10" t="str">
        <f t="shared" si="3"/>
        <v>vis</v>
      </c>
      <c r="E21" s="55">
        <f>VLOOKUP(C21,Active!C$21:E$973,3,FALSE)</f>
        <v>29660.940004561911</v>
      </c>
      <c r="F21" s="4" t="s">
        <v>54</v>
      </c>
      <c r="G21" s="10" t="str">
        <f t="shared" si="4"/>
        <v>55649.6138</v>
      </c>
      <c r="H21" s="47">
        <f t="shared" si="5"/>
        <v>3514.5</v>
      </c>
      <c r="I21" s="56" t="s">
        <v>96</v>
      </c>
      <c r="J21" s="57" t="s">
        <v>97</v>
      </c>
      <c r="K21" s="56">
        <v>3514.5</v>
      </c>
      <c r="L21" s="56" t="s">
        <v>98</v>
      </c>
      <c r="M21" s="57" t="s">
        <v>75</v>
      </c>
      <c r="N21" s="57" t="s">
        <v>76</v>
      </c>
      <c r="O21" s="58" t="s">
        <v>77</v>
      </c>
      <c r="P21" s="59" t="s">
        <v>95</v>
      </c>
    </row>
    <row r="22" spans="1:16" ht="12.75" customHeight="1" thickBot="1" x14ac:dyDescent="0.25">
      <c r="A22" s="47" t="str">
        <f t="shared" si="0"/>
        <v>BAVM 241 (=IBVS 6157) </v>
      </c>
      <c r="B22" s="4" t="str">
        <f t="shared" si="1"/>
        <v>I</v>
      </c>
      <c r="C22" s="47">
        <f t="shared" si="2"/>
        <v>56794.474300000002</v>
      </c>
      <c r="D22" s="10" t="str">
        <f t="shared" si="3"/>
        <v>vis</v>
      </c>
      <c r="E22" s="55">
        <f>VLOOKUP(C22,Active!C$21:E$973,3,FALSE)</f>
        <v>31449.555369468286</v>
      </c>
      <c r="F22" s="4" t="s">
        <v>54</v>
      </c>
      <c r="G22" s="10" t="str">
        <f t="shared" si="4"/>
        <v>56794.4743</v>
      </c>
      <c r="H22" s="47">
        <f t="shared" si="5"/>
        <v>7092</v>
      </c>
      <c r="I22" s="56" t="s">
        <v>108</v>
      </c>
      <c r="J22" s="57" t="s">
        <v>109</v>
      </c>
      <c r="K22" s="56">
        <v>7092</v>
      </c>
      <c r="L22" s="56" t="s">
        <v>110</v>
      </c>
      <c r="M22" s="57" t="s">
        <v>75</v>
      </c>
      <c r="N22" s="57" t="s">
        <v>111</v>
      </c>
      <c r="O22" s="58" t="s">
        <v>112</v>
      </c>
      <c r="P22" s="59" t="s">
        <v>113</v>
      </c>
    </row>
    <row r="23" spans="1:16" x14ac:dyDescent="0.2">
      <c r="B23" s="4"/>
      <c r="F23" s="4"/>
    </row>
    <row r="24" spans="1:16" x14ac:dyDescent="0.2">
      <c r="B24" s="4"/>
      <c r="F24" s="4"/>
    </row>
    <row r="25" spans="1:16" x14ac:dyDescent="0.2">
      <c r="B25" s="4"/>
      <c r="F25" s="4"/>
    </row>
    <row r="26" spans="1:16" x14ac:dyDescent="0.2">
      <c r="B26" s="4"/>
      <c r="F26" s="4"/>
    </row>
    <row r="27" spans="1:16" x14ac:dyDescent="0.2">
      <c r="B27" s="4"/>
      <c r="F27" s="4"/>
    </row>
    <row r="28" spans="1:16" x14ac:dyDescent="0.2">
      <c r="B28" s="4"/>
      <c r="F28" s="4"/>
    </row>
    <row r="29" spans="1:16" x14ac:dyDescent="0.2">
      <c r="B29" s="4"/>
      <c r="F29" s="4"/>
    </row>
    <row r="30" spans="1:16" x14ac:dyDescent="0.2">
      <c r="B30" s="4"/>
      <c r="F30" s="4"/>
    </row>
    <row r="31" spans="1:16" x14ac:dyDescent="0.2">
      <c r="B31" s="4"/>
      <c r="F31" s="4"/>
    </row>
    <row r="32" spans="1:16" x14ac:dyDescent="0.2">
      <c r="B32" s="4"/>
      <c r="F32" s="4"/>
    </row>
    <row r="33" spans="2:6" x14ac:dyDescent="0.2">
      <c r="B33" s="4"/>
      <c r="F33" s="4"/>
    </row>
    <row r="34" spans="2:6" x14ac:dyDescent="0.2">
      <c r="B34" s="4"/>
      <c r="F34" s="4"/>
    </row>
    <row r="35" spans="2:6" x14ac:dyDescent="0.2">
      <c r="B35" s="4"/>
      <c r="F35" s="4"/>
    </row>
    <row r="36" spans="2:6" x14ac:dyDescent="0.2">
      <c r="B36" s="4"/>
      <c r="F36" s="4"/>
    </row>
    <row r="37" spans="2:6" x14ac:dyDescent="0.2">
      <c r="B37" s="4"/>
      <c r="F37" s="4"/>
    </row>
    <row r="38" spans="2:6" x14ac:dyDescent="0.2">
      <c r="B38" s="4"/>
      <c r="F38" s="4"/>
    </row>
    <row r="39" spans="2:6" x14ac:dyDescent="0.2">
      <c r="B39" s="4"/>
      <c r="F39" s="4"/>
    </row>
    <row r="40" spans="2:6" x14ac:dyDescent="0.2">
      <c r="B40" s="4"/>
      <c r="F40" s="4"/>
    </row>
    <row r="41" spans="2:6" x14ac:dyDescent="0.2">
      <c r="B41" s="4"/>
      <c r="F41" s="4"/>
    </row>
    <row r="42" spans="2:6" x14ac:dyDescent="0.2">
      <c r="B42" s="4"/>
      <c r="F42" s="4"/>
    </row>
    <row r="43" spans="2:6" x14ac:dyDescent="0.2">
      <c r="B43" s="4"/>
      <c r="F43" s="4"/>
    </row>
    <row r="44" spans="2:6" x14ac:dyDescent="0.2">
      <c r="B44" s="4"/>
      <c r="F44" s="4"/>
    </row>
    <row r="45" spans="2:6" x14ac:dyDescent="0.2">
      <c r="B45" s="4"/>
      <c r="F45" s="4"/>
    </row>
    <row r="46" spans="2:6" x14ac:dyDescent="0.2">
      <c r="B46" s="4"/>
      <c r="F46" s="4"/>
    </row>
    <row r="47" spans="2:6" x14ac:dyDescent="0.2">
      <c r="B47" s="4"/>
      <c r="F47" s="4"/>
    </row>
    <row r="48" spans="2:6" x14ac:dyDescent="0.2">
      <c r="B48" s="4"/>
      <c r="F48" s="4"/>
    </row>
    <row r="49" spans="2:6" x14ac:dyDescent="0.2">
      <c r="B49" s="4"/>
      <c r="F49" s="4"/>
    </row>
    <row r="50" spans="2:6" x14ac:dyDescent="0.2">
      <c r="B50" s="4"/>
      <c r="F50" s="4"/>
    </row>
    <row r="51" spans="2:6" x14ac:dyDescent="0.2">
      <c r="B51" s="4"/>
      <c r="F51" s="4"/>
    </row>
    <row r="52" spans="2:6" x14ac:dyDescent="0.2">
      <c r="B52" s="4"/>
      <c r="F52" s="4"/>
    </row>
    <row r="53" spans="2:6" x14ac:dyDescent="0.2">
      <c r="B53" s="4"/>
      <c r="F53" s="4"/>
    </row>
    <row r="54" spans="2:6" x14ac:dyDescent="0.2">
      <c r="B54" s="4"/>
      <c r="F54" s="4"/>
    </row>
    <row r="55" spans="2:6" x14ac:dyDescent="0.2">
      <c r="B55" s="4"/>
      <c r="F55" s="4"/>
    </row>
    <row r="56" spans="2:6" x14ac:dyDescent="0.2">
      <c r="B56" s="4"/>
      <c r="F56" s="4"/>
    </row>
    <row r="57" spans="2:6" x14ac:dyDescent="0.2">
      <c r="B57" s="4"/>
      <c r="F57" s="4"/>
    </row>
    <row r="58" spans="2:6" x14ac:dyDescent="0.2">
      <c r="B58" s="4"/>
      <c r="F58" s="4"/>
    </row>
    <row r="59" spans="2:6" x14ac:dyDescent="0.2">
      <c r="B59" s="4"/>
      <c r="F59" s="4"/>
    </row>
    <row r="60" spans="2:6" x14ac:dyDescent="0.2">
      <c r="B60" s="4"/>
      <c r="F60" s="4"/>
    </row>
    <row r="61" spans="2:6" x14ac:dyDescent="0.2">
      <c r="B61" s="4"/>
      <c r="F61" s="4"/>
    </row>
    <row r="62" spans="2:6" x14ac:dyDescent="0.2">
      <c r="B62" s="4"/>
      <c r="F62" s="4"/>
    </row>
    <row r="63" spans="2:6" x14ac:dyDescent="0.2">
      <c r="B63" s="4"/>
      <c r="F63" s="4"/>
    </row>
    <row r="64" spans="2:6" x14ac:dyDescent="0.2">
      <c r="B64" s="4"/>
      <c r="F64" s="4"/>
    </row>
    <row r="65" spans="2:6" x14ac:dyDescent="0.2">
      <c r="B65" s="4"/>
      <c r="F65" s="4"/>
    </row>
    <row r="66" spans="2:6" x14ac:dyDescent="0.2">
      <c r="B66" s="4"/>
      <c r="F66" s="4"/>
    </row>
    <row r="67" spans="2:6" x14ac:dyDescent="0.2">
      <c r="B67" s="4"/>
      <c r="F67" s="4"/>
    </row>
    <row r="68" spans="2:6" x14ac:dyDescent="0.2">
      <c r="B68" s="4"/>
      <c r="F68" s="4"/>
    </row>
    <row r="69" spans="2:6" x14ac:dyDescent="0.2">
      <c r="B69" s="4"/>
      <c r="F69" s="4"/>
    </row>
    <row r="70" spans="2:6" x14ac:dyDescent="0.2">
      <c r="B70" s="4"/>
      <c r="F70" s="4"/>
    </row>
    <row r="71" spans="2:6" x14ac:dyDescent="0.2">
      <c r="B71" s="4"/>
      <c r="F71" s="4"/>
    </row>
    <row r="72" spans="2:6" x14ac:dyDescent="0.2">
      <c r="B72" s="4"/>
      <c r="F72" s="4"/>
    </row>
    <row r="73" spans="2:6" x14ac:dyDescent="0.2">
      <c r="B73" s="4"/>
      <c r="F73" s="4"/>
    </row>
    <row r="74" spans="2:6" x14ac:dyDescent="0.2">
      <c r="B74" s="4"/>
      <c r="F74" s="4"/>
    </row>
    <row r="75" spans="2:6" x14ac:dyDescent="0.2">
      <c r="B75" s="4"/>
      <c r="F75" s="4"/>
    </row>
    <row r="76" spans="2:6" x14ac:dyDescent="0.2">
      <c r="B76" s="4"/>
      <c r="F76" s="4"/>
    </row>
    <row r="77" spans="2:6" x14ac:dyDescent="0.2">
      <c r="B77" s="4"/>
      <c r="F77" s="4"/>
    </row>
    <row r="78" spans="2:6" x14ac:dyDescent="0.2">
      <c r="B78" s="4"/>
      <c r="F78" s="4"/>
    </row>
    <row r="79" spans="2:6" x14ac:dyDescent="0.2">
      <c r="B79" s="4"/>
      <c r="F79" s="4"/>
    </row>
    <row r="80" spans="2:6" x14ac:dyDescent="0.2">
      <c r="B80" s="4"/>
      <c r="F80" s="4"/>
    </row>
    <row r="81" spans="2:6" x14ac:dyDescent="0.2">
      <c r="B81" s="4"/>
      <c r="F81" s="4"/>
    </row>
    <row r="82" spans="2:6" x14ac:dyDescent="0.2">
      <c r="B82" s="4"/>
      <c r="F82" s="4"/>
    </row>
    <row r="83" spans="2:6" x14ac:dyDescent="0.2">
      <c r="B83" s="4"/>
      <c r="F83" s="4"/>
    </row>
    <row r="84" spans="2:6" x14ac:dyDescent="0.2">
      <c r="B84" s="4"/>
      <c r="F84" s="4"/>
    </row>
    <row r="85" spans="2:6" x14ac:dyDescent="0.2">
      <c r="B85" s="4"/>
      <c r="F85" s="4"/>
    </row>
    <row r="86" spans="2:6" x14ac:dyDescent="0.2">
      <c r="B86" s="4"/>
      <c r="F86" s="4"/>
    </row>
    <row r="87" spans="2:6" x14ac:dyDescent="0.2">
      <c r="B87" s="4"/>
      <c r="F87" s="4"/>
    </row>
    <row r="88" spans="2:6" x14ac:dyDescent="0.2">
      <c r="B88" s="4"/>
      <c r="F88" s="4"/>
    </row>
    <row r="89" spans="2:6" x14ac:dyDescent="0.2">
      <c r="B89" s="4"/>
      <c r="F89" s="4"/>
    </row>
    <row r="90" spans="2:6" x14ac:dyDescent="0.2">
      <c r="B90" s="4"/>
      <c r="F90" s="4"/>
    </row>
    <row r="91" spans="2:6" x14ac:dyDescent="0.2">
      <c r="B91" s="4"/>
      <c r="F91" s="4"/>
    </row>
    <row r="92" spans="2:6" x14ac:dyDescent="0.2">
      <c r="B92" s="4"/>
      <c r="F92" s="4"/>
    </row>
    <row r="93" spans="2:6" x14ac:dyDescent="0.2">
      <c r="B93" s="4"/>
      <c r="F93" s="4"/>
    </row>
    <row r="94" spans="2:6" x14ac:dyDescent="0.2">
      <c r="B94" s="4"/>
      <c r="F94" s="4"/>
    </row>
    <row r="95" spans="2:6" x14ac:dyDescent="0.2">
      <c r="B95" s="4"/>
      <c r="F95" s="4"/>
    </row>
    <row r="96" spans="2:6" x14ac:dyDescent="0.2">
      <c r="B96" s="4"/>
      <c r="F96" s="4"/>
    </row>
    <row r="97" spans="2:6" x14ac:dyDescent="0.2">
      <c r="B97" s="4"/>
      <c r="F97" s="4"/>
    </row>
    <row r="98" spans="2:6" x14ac:dyDescent="0.2">
      <c r="B98" s="4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  <row r="770" spans="2:6" x14ac:dyDescent="0.2">
      <c r="B770" s="4"/>
      <c r="F770" s="4"/>
    </row>
    <row r="771" spans="2:6" x14ac:dyDescent="0.2">
      <c r="B771" s="4"/>
      <c r="F771" s="4"/>
    </row>
    <row r="772" spans="2:6" x14ac:dyDescent="0.2">
      <c r="B772" s="4"/>
      <c r="F772" s="4"/>
    </row>
  </sheetData>
  <phoneticPr fontId="8" type="noConversion"/>
  <hyperlinks>
    <hyperlink ref="A3" r:id="rId1"/>
    <hyperlink ref="P18" r:id="rId2" display="http://vsolj.cetus-net.org/no43.pdf"/>
    <hyperlink ref="P13" r:id="rId3" display="http://www.bav-astro.de/sfs/BAVM_link.php?BAVMnr=178"/>
    <hyperlink ref="P14" r:id="rId4" display="http://www.bav-astro.de/sfs/BAVM_link.php?BAVMnr=178"/>
    <hyperlink ref="P19" r:id="rId5" display="http://www.bav-astro.de/sfs/BAVM_link.php?BAVMnr=212"/>
    <hyperlink ref="P20" r:id="rId6" display="http://var.astro.cz/oejv/issues/oejv0162.pdf"/>
    <hyperlink ref="P15" r:id="rId7" display="http://www.bav-astro.de/sfs/BAVM_link.php?BAVMnr=220"/>
    <hyperlink ref="P21" r:id="rId8" display="http://www.bav-astro.de/sfs/BAVM_link.php?BAVMnr=220"/>
    <hyperlink ref="P16" r:id="rId9" display="http://www.bav-astro.de/sfs/BAVM_link.php?BAVMnr=234"/>
    <hyperlink ref="P17" r:id="rId10" display="http://www.bav-astro.de/sfs/BAVM_link.php?BAVMnr=228"/>
    <hyperlink ref="P22" r:id="rId11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2024-01-15T04:06:07Z</dcterms:modified>
</cp:coreProperties>
</file>