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52A88E-B592-468C-A19C-8645251003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2" r:id="rId2"/>
    <sheet name="BAV" sheetId="3" r:id="rId3"/>
  </sheets>
  <definedNames>
    <definedName name="solver_adj" localSheetId="1" hidden="1">'A (2)'!$E$11:$E$13</definedName>
    <definedName name="solver_adj" localSheetId="0" hidden="1">Active!$E$11:$E$13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'A (2)'!$E$14</definedName>
    <definedName name="solver_opt" localSheetId="0" hidden="1">Active!$E$14</definedName>
    <definedName name="solver_pre" localSheetId="1" hidden="1">0.000001</definedName>
    <definedName name="solver_pre" localSheetId="0" hidden="1">0.000001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45" i="1" l="1"/>
  <c r="Q46" i="1"/>
  <c r="D11" i="1"/>
  <c r="P21" i="1"/>
  <c r="R21" i="1" s="1"/>
  <c r="D12" i="1"/>
  <c r="Q26" i="1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30" i="3"/>
  <c r="C30" i="3"/>
  <c r="G15" i="3"/>
  <c r="C15" i="3"/>
  <c r="E25" i="1"/>
  <c r="F25" i="1"/>
  <c r="G14" i="3"/>
  <c r="C14" i="3"/>
  <c r="G13" i="3"/>
  <c r="C13" i="3"/>
  <c r="E23" i="1"/>
  <c r="F23" i="1"/>
  <c r="G12" i="3"/>
  <c r="C12" i="3"/>
  <c r="G11" i="3"/>
  <c r="C11" i="3"/>
  <c r="E21" i="1"/>
  <c r="F21" i="1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30" i="3"/>
  <c r="B30" i="3"/>
  <c r="D30" i="3"/>
  <c r="A30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E9" i="1"/>
  <c r="D9" i="1"/>
  <c r="Q44" i="1"/>
  <c r="Q43" i="1"/>
  <c r="D11" i="2"/>
  <c r="D12" i="2"/>
  <c r="S15" i="2" s="1"/>
  <c r="D13" i="2"/>
  <c r="C7" i="2"/>
  <c r="E33" i="2"/>
  <c r="F33" i="2"/>
  <c r="G33" i="2"/>
  <c r="J33" i="2"/>
  <c r="C8" i="2"/>
  <c r="D9" i="2"/>
  <c r="E9" i="2"/>
  <c r="E31" i="2"/>
  <c r="F31" i="2"/>
  <c r="E34" i="2"/>
  <c r="F34" i="2"/>
  <c r="E35" i="2"/>
  <c r="F35" i="2"/>
  <c r="E39" i="2"/>
  <c r="F39" i="2"/>
  <c r="E24" i="2"/>
  <c r="F24" i="2"/>
  <c r="E29" i="2"/>
  <c r="F29" i="2"/>
  <c r="F16" i="2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D13" i="1"/>
  <c r="U20" i="1"/>
  <c r="U21" i="1"/>
  <c r="U22" i="1"/>
  <c r="U17" i="1"/>
  <c r="U18" i="1"/>
  <c r="U19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C7" i="1"/>
  <c r="E45" i="1"/>
  <c r="F45" i="1"/>
  <c r="C8" i="1"/>
  <c r="U2" i="1"/>
  <c r="F16" i="1"/>
  <c r="F17" i="1" s="1"/>
  <c r="C17" i="1"/>
  <c r="Q21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E17" i="3"/>
  <c r="E11" i="3"/>
  <c r="E15" i="3"/>
  <c r="E20" i="3"/>
  <c r="E25" i="3"/>
  <c r="E13" i="3"/>
  <c r="E16" i="3"/>
  <c r="E14" i="3"/>
  <c r="E24" i="3"/>
  <c r="S10" i="2"/>
  <c r="P30" i="2"/>
  <c r="R30" i="2" s="1"/>
  <c r="E27" i="2"/>
  <c r="F27" i="2"/>
  <c r="G27" i="2"/>
  <c r="N27" i="2"/>
  <c r="E22" i="2"/>
  <c r="F22" i="2"/>
  <c r="G22" i="2"/>
  <c r="N22" i="2"/>
  <c r="E38" i="2"/>
  <c r="F38" i="2"/>
  <c r="G38" i="2"/>
  <c r="K38" i="2"/>
  <c r="U18" i="2"/>
  <c r="U10" i="2"/>
  <c r="S2" i="2"/>
  <c r="G24" i="1"/>
  <c r="H24" i="1"/>
  <c r="E22" i="1"/>
  <c r="F22" i="1"/>
  <c r="D15" i="1"/>
  <c r="C19" i="1" s="1"/>
  <c r="E24" i="1"/>
  <c r="F24" i="1"/>
  <c r="P24" i="1"/>
  <c r="R24" i="1" s="1"/>
  <c r="P25" i="2"/>
  <c r="U9" i="2"/>
  <c r="S6" i="2"/>
  <c r="E31" i="1"/>
  <c r="F31" i="1"/>
  <c r="P31" i="1"/>
  <c r="R31" i="1" s="1"/>
  <c r="E27" i="1"/>
  <c r="F27" i="1"/>
  <c r="P37" i="2"/>
  <c r="R37" i="2"/>
  <c r="P21" i="2"/>
  <c r="S14" i="2"/>
  <c r="G23" i="2"/>
  <c r="N23" i="2"/>
  <c r="E30" i="2"/>
  <c r="F30" i="2"/>
  <c r="E25" i="2"/>
  <c r="F25" i="2"/>
  <c r="G25" i="2"/>
  <c r="N25" i="2"/>
  <c r="E21" i="2"/>
  <c r="F21" i="2"/>
  <c r="E40" i="2"/>
  <c r="F40" i="2"/>
  <c r="G40" i="2"/>
  <c r="J40" i="2"/>
  <c r="G34" i="2"/>
  <c r="J34" i="2"/>
  <c r="E32" i="2"/>
  <c r="F32" i="2"/>
  <c r="G32" i="2"/>
  <c r="I32" i="2"/>
  <c r="U16" i="2"/>
  <c r="S13" i="2"/>
  <c r="G23" i="1"/>
  <c r="E26" i="1"/>
  <c r="F26" i="1"/>
  <c r="G26" i="1"/>
  <c r="H26" i="1"/>
  <c r="G39" i="2"/>
  <c r="E37" i="2"/>
  <c r="F37" i="2"/>
  <c r="G37" i="2"/>
  <c r="K37" i="2"/>
  <c r="G31" i="2"/>
  <c r="U7" i="2"/>
  <c r="S20" i="2"/>
  <c r="S12" i="2"/>
  <c r="G29" i="1"/>
  <c r="H29" i="1"/>
  <c r="E33" i="1"/>
  <c r="F33" i="1"/>
  <c r="P33" i="1"/>
  <c r="E28" i="1"/>
  <c r="F28" i="1"/>
  <c r="E30" i="1"/>
  <c r="F30" i="1"/>
  <c r="P30" i="1"/>
  <c r="R30" i="1" s="1"/>
  <c r="E35" i="1"/>
  <c r="F35" i="1"/>
  <c r="E37" i="1"/>
  <c r="F37" i="1"/>
  <c r="P37" i="1"/>
  <c r="R37" i="1" s="1"/>
  <c r="E39" i="1"/>
  <c r="F39" i="1"/>
  <c r="E41" i="1"/>
  <c r="F41" i="1"/>
  <c r="P41" i="1"/>
  <c r="E43" i="1"/>
  <c r="F43" i="1"/>
  <c r="P43" i="1"/>
  <c r="R43" i="1" s="1"/>
  <c r="E46" i="1"/>
  <c r="F46" i="1"/>
  <c r="P46" i="1"/>
  <c r="P45" i="1"/>
  <c r="G45" i="1"/>
  <c r="K45" i="1"/>
  <c r="E26" i="2"/>
  <c r="F26" i="2"/>
  <c r="G26" i="2"/>
  <c r="H26" i="2"/>
  <c r="E28" i="2"/>
  <c r="F28" i="2"/>
  <c r="E23" i="2"/>
  <c r="F23" i="2"/>
  <c r="P23" i="2"/>
  <c r="E36" i="2"/>
  <c r="F36" i="2"/>
  <c r="G36" i="2"/>
  <c r="J36" i="2"/>
  <c r="U12" i="2"/>
  <c r="U4" i="2"/>
  <c r="S17" i="2"/>
  <c r="E32" i="1"/>
  <c r="F32" i="1"/>
  <c r="G21" i="1"/>
  <c r="H21" i="1"/>
  <c r="G38" i="1"/>
  <c r="K38" i="1"/>
  <c r="S18" i="2"/>
  <c r="G29" i="2"/>
  <c r="N29" i="2"/>
  <c r="G24" i="2"/>
  <c r="N24" i="2"/>
  <c r="P34" i="2"/>
  <c r="R34" i="2"/>
  <c r="G30" i="2"/>
  <c r="I30" i="2"/>
  <c r="E41" i="2"/>
  <c r="F41" i="2"/>
  <c r="G41" i="2"/>
  <c r="J41" i="2"/>
  <c r="G35" i="2"/>
  <c r="U19" i="2"/>
  <c r="S16" i="2"/>
  <c r="G41" i="1"/>
  <c r="K41" i="1"/>
  <c r="G34" i="1"/>
  <c r="K34" i="1"/>
  <c r="G25" i="1"/>
  <c r="H25" i="1"/>
  <c r="E29" i="1"/>
  <c r="F29" i="1"/>
  <c r="P29" i="1"/>
  <c r="E34" i="1"/>
  <c r="F34" i="1"/>
  <c r="P34" i="1"/>
  <c r="R34" i="1" s="1"/>
  <c r="E36" i="1"/>
  <c r="F36" i="1"/>
  <c r="P36" i="1"/>
  <c r="R36" i="1" s="1"/>
  <c r="E38" i="1"/>
  <c r="F38" i="1"/>
  <c r="P38" i="1"/>
  <c r="R38" i="1" s="1"/>
  <c r="E40" i="1"/>
  <c r="F40" i="1"/>
  <c r="P40" i="1"/>
  <c r="E42" i="1"/>
  <c r="F42" i="1"/>
  <c r="E44" i="1"/>
  <c r="F44" i="1"/>
  <c r="P44" i="1"/>
  <c r="R44" i="1" s="1"/>
  <c r="R41" i="1"/>
  <c r="G36" i="1"/>
  <c r="K36" i="1"/>
  <c r="G28" i="2"/>
  <c r="N28" i="2"/>
  <c r="P27" i="1"/>
  <c r="G27" i="1"/>
  <c r="H27" i="1"/>
  <c r="E19" i="3"/>
  <c r="P32" i="1"/>
  <c r="R32" i="1"/>
  <c r="G32" i="1"/>
  <c r="H32" i="1"/>
  <c r="P39" i="1"/>
  <c r="R39" i="1" s="1"/>
  <c r="G39" i="1"/>
  <c r="K39" i="1"/>
  <c r="G43" i="1"/>
  <c r="K43" i="1"/>
  <c r="G40" i="1"/>
  <c r="K40" i="1"/>
  <c r="G46" i="1"/>
  <c r="K46" i="1"/>
  <c r="E23" i="3"/>
  <c r="K39" i="2"/>
  <c r="G44" i="1"/>
  <c r="J44" i="1"/>
  <c r="E12" i="3"/>
  <c r="E28" i="3"/>
  <c r="E29" i="3"/>
  <c r="H23" i="1"/>
  <c r="P35" i="1"/>
  <c r="G35" i="1"/>
  <c r="K35" i="1"/>
  <c r="G33" i="1"/>
  <c r="H33" i="1"/>
  <c r="G21" i="2"/>
  <c r="N21" i="2"/>
  <c r="E21" i="3"/>
  <c r="R29" i="1"/>
  <c r="G30" i="1"/>
  <c r="H30" i="1"/>
  <c r="E27" i="3"/>
  <c r="P26" i="1"/>
  <c r="R26" i="1"/>
  <c r="G31" i="1"/>
  <c r="H31" i="1"/>
  <c r="J35" i="2"/>
  <c r="R45" i="1"/>
  <c r="P28" i="1"/>
  <c r="R28" i="1" s="1"/>
  <c r="G28" i="1"/>
  <c r="H28" i="1"/>
  <c r="G37" i="1"/>
  <c r="E22" i="3"/>
  <c r="E30" i="3"/>
  <c r="E18" i="3"/>
  <c r="P22" i="1"/>
  <c r="G22" i="1"/>
  <c r="H22" i="1"/>
  <c r="D16" i="1"/>
  <c r="D19" i="1" s="1"/>
  <c r="D16" i="2"/>
  <c r="D19" i="2" s="1"/>
  <c r="G42" i="1"/>
  <c r="J42" i="1"/>
  <c r="P42" i="1"/>
  <c r="R42" i="1" s="1"/>
  <c r="R40" i="1"/>
  <c r="I31" i="2"/>
  <c r="E26" i="3"/>
  <c r="R35" i="1"/>
  <c r="R33" i="1"/>
  <c r="R22" i="1"/>
  <c r="R46" i="1"/>
  <c r="J37" i="1"/>
  <c r="U21" i="2"/>
  <c r="P39" i="2"/>
  <c r="R39" i="2"/>
  <c r="P31" i="2"/>
  <c r="R31" i="2" s="1"/>
  <c r="U5" i="2"/>
  <c r="S19" i="2"/>
  <c r="P25" i="1"/>
  <c r="R25" i="1"/>
  <c r="P35" i="2"/>
  <c r="R35" i="2" s="1"/>
  <c r="P23" i="1"/>
  <c r="R23" i="1"/>
  <c r="C12" i="1"/>
  <c r="C11" i="2"/>
  <c r="C11" i="1"/>
  <c r="C12" i="2"/>
  <c r="C16" i="2" l="1"/>
  <c r="D18" i="2" s="1"/>
  <c r="O46" i="1"/>
  <c r="O35" i="1"/>
  <c r="O31" i="1"/>
  <c r="O38" i="1"/>
  <c r="O36" i="1"/>
  <c r="O34" i="1"/>
  <c r="O33" i="1"/>
  <c r="O37" i="1"/>
  <c r="O39" i="1"/>
  <c r="O40" i="1"/>
  <c r="O42" i="1"/>
  <c r="O44" i="1"/>
  <c r="O41" i="1"/>
  <c r="O32" i="1"/>
  <c r="O45" i="1"/>
  <c r="C15" i="1"/>
  <c r="O43" i="1"/>
  <c r="O37" i="2"/>
  <c r="O33" i="2"/>
  <c r="O39" i="2"/>
  <c r="O40" i="2"/>
  <c r="O41" i="2"/>
  <c r="O38" i="2"/>
  <c r="O35" i="2"/>
  <c r="O30" i="2"/>
  <c r="C15" i="2"/>
  <c r="F18" i="2" s="1"/>
  <c r="O36" i="2"/>
  <c r="O31" i="2"/>
  <c r="O34" i="2"/>
  <c r="O32" i="2"/>
  <c r="C16" i="1"/>
  <c r="D18" i="1" s="1"/>
  <c r="E14" i="1"/>
  <c r="U22" i="2"/>
  <c r="S8" i="2"/>
  <c r="P40" i="2"/>
  <c r="R40" i="2" s="1"/>
  <c r="P26" i="2"/>
  <c r="D15" i="2"/>
  <c r="C19" i="2" s="1"/>
  <c r="P41" i="2"/>
  <c r="R41" i="2" s="1"/>
  <c r="P38" i="2"/>
  <c r="R38" i="2" s="1"/>
  <c r="U20" i="2"/>
  <c r="P28" i="2"/>
  <c r="U15" i="2"/>
  <c r="P24" i="2"/>
  <c r="U14" i="2"/>
  <c r="U2" i="2"/>
  <c r="P29" i="2"/>
  <c r="S5" i="2"/>
  <c r="P33" i="2"/>
  <c r="R33" i="2" s="1"/>
  <c r="F17" i="2"/>
  <c r="U13" i="2"/>
  <c r="U6" i="2"/>
  <c r="P32" i="2"/>
  <c r="R32" i="2" s="1"/>
  <c r="E14" i="2" s="1"/>
  <c r="U3" i="2"/>
  <c r="P27" i="2"/>
  <c r="P36" i="2"/>
  <c r="R36" i="2" s="1"/>
  <c r="S21" i="2"/>
  <c r="S22" i="2"/>
  <c r="S7" i="2"/>
  <c r="P22" i="2"/>
  <c r="S3" i="2"/>
  <c r="S11" i="2"/>
  <c r="U11" i="2"/>
  <c r="S9" i="2"/>
  <c r="S4" i="2"/>
  <c r="U8" i="2"/>
  <c r="U17" i="2"/>
  <c r="C18" i="2" l="1"/>
  <c r="F19" i="2"/>
  <c r="C18" i="1"/>
  <c r="F18" i="1"/>
  <c r="F19" i="1" s="1"/>
  <c r="N27" i="3"/>
</calcChain>
</file>

<file path=xl/sharedStrings.xml><?xml version="1.0" encoding="utf-8"?>
<sst xmlns="http://schemas.openxmlformats.org/spreadsheetml/2006/main" count="399" uniqueCount="162">
  <si>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</si>
  <si>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</si>
  <si>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</si>
  <si>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</si>
  <si>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</si>
  <si>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</si>
  <si>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</si>
  <si>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</si>
  <si>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</si>
  <si>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</si>
  <si>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</si>
  <si>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</si>
  <si>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</si>
  <si>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</si>
  <si>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</si>
  <si>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</si>
  <si>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</si>
  <si>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</si>
  <si>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</si>
  <si>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</si>
  <si>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</si>
  <si>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</si>
  <si>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</si>
  <si>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</si>
  <si>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</si>
  <si>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</si>
  <si>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</si>
  <si>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</si>
  <si>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</si>
  <si>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</si>
  <si>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</si>
  <si>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</si>
  <si>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</si>
  <si>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</si>
  <si>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</si>
  <si>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</si>
  <si>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</si>
  <si>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</si>
  <si>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</si>
  <si>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</si>
  <si>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</si>
  <si>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</si>
  <si>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</si>
  <si>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</si>
  <si>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</si>
  <si>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P.Parenago AN 240.328</t>
  </si>
  <si>
    <t>P.Guthnick (        )</t>
  </si>
  <si>
    <t>W.Zessewitsch IODE 4.1.128</t>
  </si>
  <si>
    <t>ROTSE</t>
  </si>
  <si>
    <t>I</t>
  </si>
  <si>
    <t>II</t>
  </si>
  <si>
    <t>IBVS 5577</t>
  </si>
  <si>
    <t>IBVS 5592</t>
  </si>
  <si>
    <t>IBVS 5837</t>
  </si>
  <si>
    <t>OEJV 0137</t>
  </si>
  <si>
    <t>IBVS 5992</t>
  </si>
  <si>
    <t>IBVS 6010</t>
  </si>
  <si>
    <t>.0115</t>
  </si>
  <si>
    <t>TX Boo / gsc 2554-0951</t>
  </si>
  <si>
    <t>EA/SD:</t>
  </si>
  <si>
    <t>IBVS</t>
  </si>
  <si>
    <t>OEJV</t>
  </si>
  <si>
    <t>Quad relation is speculative</t>
  </si>
  <si>
    <t>Cycle count is HIGHLY speculative</t>
  </si>
  <si>
    <t>See also page B</t>
  </si>
  <si>
    <t>IBVS 6029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</si>
  <si>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</si>
  <si>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</si>
  <si>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</si>
  <si>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</si>
  <si>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</si>
  <si>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</si>
  <si>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</si>
  <si>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</si>
  <si>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</si>
  <si>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</si>
  <si>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</si>
  <si>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</si>
  <si>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2424610.29 </t>
  </si>
  <si>
    <t> 04.04.1926 18:57 </t>
  </si>
  <si>
    <t> -1.48 </t>
  </si>
  <si>
    <t>P </t>
  </si>
  <si>
    <t> P.Parenago </t>
  </si>
  <si>
    <t> AN 240.328 </t>
  </si>
  <si>
    <t>2424614.30 </t>
  </si>
  <si>
    <t> 08.04.1926 19:12 </t>
  </si>
  <si>
    <t> -0.88 </t>
  </si>
  <si>
    <t>2424615.48 </t>
  </si>
  <si>
    <t> 09.04.1926 23:31 </t>
  </si>
  <si>
    <t> -1.41 </t>
  </si>
  <si>
    <t>2424624.54 </t>
  </si>
  <si>
    <t> 19.04.1926 00:57 </t>
  </si>
  <si>
    <t> P.Guthnick </t>
  </si>
  <si>
    <t>  </t>
  </si>
  <si>
    <t>2425003.39 </t>
  </si>
  <si>
    <t> 02.05.1927 21:21 </t>
  </si>
  <si>
    <t> -0.84 </t>
  </si>
  <si>
    <t>V </t>
  </si>
  <si>
    <t> W.Zessewitsch </t>
  </si>
  <si>
    <t> IODE 4.1.128 </t>
  </si>
  <si>
    <t>2431235.395 </t>
  </si>
  <si>
    <t> 24.05.1944 21:28 </t>
  </si>
  <si>
    <t> -0.515 </t>
  </si>
  <si>
    <t>2431300.245 </t>
  </si>
  <si>
    <t> 28.07.1944 17:52 </t>
  </si>
  <si>
    <t> -0.507 </t>
  </si>
  <si>
    <t>2431590.37 </t>
  </si>
  <si>
    <t> 14.05.1945 20:52 </t>
  </si>
  <si>
    <t> -0.47 </t>
  </si>
  <si>
    <t>2431607.42 </t>
  </si>
  <si>
    <t> 31.05.1945 22:04 </t>
  </si>
  <si>
    <t> -0.48 </t>
  </si>
  <si>
    <t>2453104.7691 </t>
  </si>
  <si>
    <t> 09.04.2004 06:27 </t>
  </si>
  <si>
    <t> -0.0195 </t>
  </si>
  <si>
    <t>E </t>
  </si>
  <si>
    <t>?</t>
  </si>
  <si>
    <t> C.Lacy </t>
  </si>
  <si>
    <t>IBVS 5577 </t>
  </si>
  <si>
    <t>2453125.2491 </t>
  </si>
  <si>
    <t> 29.04.2004 17:58 </t>
  </si>
  <si>
    <t> -0.0160 </t>
  </si>
  <si>
    <t> T.Krajci </t>
  </si>
  <si>
    <t>IBVS 5592 </t>
  </si>
  <si>
    <t>2453159.3796 </t>
  </si>
  <si>
    <t> 02.06.2004 21:06 </t>
  </si>
  <si>
    <t> -0.0130 </t>
  </si>
  <si>
    <t>2454633.6985 </t>
  </si>
  <si>
    <t> 16.06.2008 04:45 </t>
  </si>
  <si>
    <t> -0.0005 </t>
  </si>
  <si>
    <t>C </t>
  </si>
  <si>
    <t> R.Diethelm </t>
  </si>
  <si>
    <t>IBVS 5837 </t>
  </si>
  <si>
    <t>2455599.5369 </t>
  </si>
  <si>
    <t> 07.02.2011 00:53 </t>
  </si>
  <si>
    <t> 0.0307 </t>
  </si>
  <si>
    <t> J.Trnka </t>
  </si>
  <si>
    <t>OEJV 0137 </t>
  </si>
  <si>
    <t>2455599.5416 </t>
  </si>
  <si>
    <t> 07.02.2011 00:59 </t>
  </si>
  <si>
    <t> 0.0354 </t>
  </si>
  <si>
    <t>R</t>
  </si>
  <si>
    <t>2455599.5441 </t>
  </si>
  <si>
    <t> 07.02.2011 01:03 </t>
  </si>
  <si>
    <t> 0.0379 </t>
  </si>
  <si>
    <t>2455643.9115 </t>
  </si>
  <si>
    <t> 23.03.2011 09:52 </t>
  </si>
  <si>
    <t> 0.0396 </t>
  </si>
  <si>
    <t>IBVS 5992 </t>
  </si>
  <si>
    <t>2455681.4483 </t>
  </si>
  <si>
    <t> 29.04.2011 22:45 </t>
  </si>
  <si>
    <t> 0.0362 </t>
  </si>
  <si>
    <t> F.Agerer </t>
  </si>
  <si>
    <t>BAVM 220 </t>
  </si>
  <si>
    <t>2456015.9111 </t>
  </si>
  <si>
    <t> 29.03.2012 09:51 </t>
  </si>
  <si>
    <t> 0.0498 </t>
  </si>
  <si>
    <t>IBVS 6029 </t>
  </si>
  <si>
    <t>2456408.3909 </t>
  </si>
  <si>
    <t> 25.04.2013 21:22 </t>
  </si>
  <si>
    <t> 0.0638 </t>
  </si>
  <si>
    <t>BAVM 232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</si>
</sst>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10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13" fillId="0" borderId="0" xfId="0" applyFont="1" applyAlignment="1"/>
    <xf numFmtId="0" fontId="0" fillId="0" borderId="16" xfId="0" applyBorder="1" applyAlignment="1"/>
    <xf numFmtId="0" fontId="0" fillId="0" borderId="17" xfId="0" applyBorder="1" applyAlignme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14" fontId="10" fillId="0" borderId="0" xfId="0" applyNumberFormat="1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176" fontId="5" fillId="0" borderId="0" xfId="0" applyNumberFormat="1" applyFont="1" applyAlignment="1">
      <alignment horizontal="left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7" fillId="24" borderId="0" xfId="0" applyFont="1" applyFill="1" applyAlignment="1"/>
    <xf numFmtId="0" fontId="20" fillId="0" borderId="0" xfId="0" applyFont="1" applyAlignment="1"/>
    <xf numFmtId="0" fontId="11" fillId="24" borderId="0" xfId="0" applyFont="1" applyFill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2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center"/>
    </xf>
    <xf numFmtId="176" fontId="22" fillId="0" borderId="0" xfId="0" applyNumberFormat="1" applyFont="1" applyAlignment="1">
      <alignment horizontal="left"/>
    </xf>
    <xf numFmtId="0" fontId="22" fillId="0" borderId="0" xfId="0" applyFont="1">
      <alignment vertical="top"/>
    </xf>
    <xf numFmtId="0" fontId="22" fillId="0" borderId="0" xfId="0" applyFont="1" applyAlignment="1">
      <alignment horizontal="center" wrapText="1"/>
    </xf>
    <xf numFmtId="0" fontId="2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5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5" fillId="25" borderId="24" xfId="0" applyFont="1" applyFill="1" applyBorder="1" applyAlignment="1">
      <alignment horizontal="left" vertical="top" wrapText="1" indent="1"/>
    </xf>
    <xf numFmtId="0" fontId="5" fillId="25" borderId="24" xfId="0" applyFont="1" applyFill="1" applyBorder="1" applyAlignment="1">
      <alignment horizontal="center" vertical="top" wrapText="1"/>
    </xf>
    <xf numFmtId="0" fontId="5" fillId="25" borderId="24" xfId="0" applyFont="1" applyFill="1" applyBorder="1" applyAlignment="1">
      <alignment horizontal="right" vertical="top" wrapText="1"/>
    </xf>
    <xf numFmtId="0" fontId="25" fillId="25" borderId="24" xfId="38" applyFill="1" applyBorder="1" applyAlignment="1" applyProtection="1">
      <alignment horizontal="right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22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6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Boo - O-C Diagr.</a:t>
            </a:r>
          </a:p>
        </c:rich>
      </c:tx>
      <c:layout>
        <c:manualLayout>
          <c:xMode val="edge"/>
          <c:yMode val="edge"/>
          <c:x val="0.3777784443611215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634168126798494"/>
          <c:w val="0.8174615846068710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Active!$H$21:$H$1004</c:f>
              <c:numCache>
                <c:formatCode>General</c:formatCode>
                <c:ptCount val="984"/>
                <c:pt idx="0">
                  <c:v>2.8231320000013511</c:v>
                </c:pt>
                <c:pt idx="1">
                  <c:v>3.4201859999993758</c:v>
                </c:pt>
                <c:pt idx="2">
                  <c:v>2.8937130000012985</c:v>
                </c:pt>
                <c:pt idx="3">
                  <c:v>3.4213479999998526</c:v>
                </c:pt>
                <c:pt idx="4">
                  <c:v>3.4343420000004699</c:v>
                </c:pt>
                <c:pt idx="5">
                  <c:v>1.6934729999993579</c:v>
                </c:pt>
                <c:pt idx="6">
                  <c:v>0</c:v>
                </c:pt>
                <c:pt idx="7">
                  <c:v>1.6974989999980608</c:v>
                </c:pt>
                <c:pt idx="8">
                  <c:v>1.7220889999989595</c:v>
                </c:pt>
                <c:pt idx="9">
                  <c:v>1.7073589999999967</c:v>
                </c:pt>
                <c:pt idx="10">
                  <c:v>-0.64978199999313802</c:v>
                </c:pt>
                <c:pt idx="11">
                  <c:v>-0.64320100000622915</c:v>
                </c:pt>
                <c:pt idx="12">
                  <c:v>-0.66881199999625096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1-4F7F-9112-1B17759AD3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Active!$D$21:$D$1004</c:f>
                <c:numCache>
                  <c:formatCode>General</c:formatCode>
                  <c:ptCount val="9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Active!$D$21:$D$1004</c:f>
                <c:numCache>
                  <c:formatCode>General</c:formatCode>
                  <c:ptCount val="9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Active!$I$21:$I$1004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41-4F7F-9112-1B17759AD3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Active!$D$21:$D$55</c:f>
                <c:numCache>
                  <c:formatCode>General</c:formatCode>
                  <c:ptCount val="35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Active!$D$21:$D$55</c:f>
                <c:numCache>
                  <c:formatCode>General</c:formatCode>
                  <c:ptCount val="35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Active!$J$21:$J$1004</c:f>
              <c:numCache>
                <c:formatCode>General</c:formatCode>
                <c:ptCount val="984"/>
                <c:pt idx="16">
                  <c:v>-0.86727600000449456</c:v>
                </c:pt>
                <c:pt idx="21">
                  <c:v>-0.89189800000167452</c:v>
                </c:pt>
                <c:pt idx="23">
                  <c:v>-0.90679599999566562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41-4F7F-9112-1B17759AD3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Active!$K$21:$K$1004</c:f>
              <c:numCache>
                <c:formatCode>General</c:formatCode>
                <c:ptCount val="984"/>
                <c:pt idx="13">
                  <c:v>-0.79686799999763025</c:v>
                </c:pt>
                <c:pt idx="14">
                  <c:v>-0.79454399999667658</c:v>
                </c:pt>
                <c:pt idx="15">
                  <c:v>-0.79350400000112131</c:v>
                </c:pt>
                <c:pt idx="17">
                  <c:v>-0.8925939999971888</c:v>
                </c:pt>
                <c:pt idx="18">
                  <c:v>-0.88789399999950547</c:v>
                </c:pt>
                <c:pt idx="19">
                  <c:v>-0.88539399999717716</c:v>
                </c:pt>
                <c:pt idx="20">
                  <c:v>-0.88629199999559205</c:v>
                </c:pt>
                <c:pt idx="22">
                  <c:v>-0.89780600000085542</c:v>
                </c:pt>
                <c:pt idx="24">
                  <c:v>-0.91490199999680044</c:v>
                </c:pt>
                <c:pt idx="25">
                  <c:v>-0.91381600000022445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41-4F7F-9112-1B17759AD3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41-4F7F-9112-1B17759AD3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41-4F7F-9112-1B17759AD3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Active!$N$21:$N$1004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41-4F7F-9112-1B17759AD3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Active!$O$21:$O$1004</c:f>
              <c:numCache>
                <c:formatCode>General</c:formatCode>
                <c:ptCount val="984"/>
                <c:pt idx="10">
                  <c:v>-0.82097599425113033</c:v>
                </c:pt>
                <c:pt idx="11">
                  <c:v>-0.8210618613711036</c:v>
                </c:pt>
                <c:pt idx="12">
                  <c:v>-0.82126221798437449</c:v>
                </c:pt>
                <c:pt idx="13">
                  <c:v>-0.84622092752327105</c:v>
                </c:pt>
                <c:pt idx="14">
                  <c:v>-0.84656439600316413</c:v>
                </c:pt>
                <c:pt idx="15">
                  <c:v>-0.84713684346965257</c:v>
                </c:pt>
                <c:pt idx="16">
                  <c:v>-0.87186657402195378</c:v>
                </c:pt>
                <c:pt idx="17">
                  <c:v>-0.88806683732357694</c:v>
                </c:pt>
                <c:pt idx="18">
                  <c:v>-0.88806683732357694</c:v>
                </c:pt>
                <c:pt idx="19">
                  <c:v>-0.88806683732357694</c:v>
                </c:pt>
                <c:pt idx="20">
                  <c:v>-0.88881101903001203</c:v>
                </c:pt>
                <c:pt idx="21">
                  <c:v>-0.88944071124314927</c:v>
                </c:pt>
                <c:pt idx="22">
                  <c:v>-0.89505069641473611</c:v>
                </c:pt>
                <c:pt idx="23">
                  <c:v>-0.90163384227935328</c:v>
                </c:pt>
                <c:pt idx="24">
                  <c:v>-0.91371248382225967</c:v>
                </c:pt>
                <c:pt idx="25">
                  <c:v>-0.91995216120698386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41-4F7F-9112-1B17759AD320}"/>
            </c:ext>
          </c:extLst>
        </c:ser>
        <c:ser>
          <c:idx val="8"/>
          <c:order val="8"/>
          <c:tx>
            <c:strRef>
              <c:f>Active!$U$1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Active!$T$2:$T$1004</c:f>
              <c:numCache>
                <c:formatCode>General</c:formatCode>
                <c:ptCount val="1003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3500</c:v>
                </c:pt>
                <c:pt idx="12">
                  <c:v>4000</c:v>
                </c:pt>
                <c:pt idx="13">
                  <c:v>4500</c:v>
                </c:pt>
                <c:pt idx="14">
                  <c:v>5000</c:v>
                </c:pt>
                <c:pt idx="15">
                  <c:v>5500</c:v>
                </c:pt>
                <c:pt idx="16">
                  <c:v>6000</c:v>
                </c:pt>
                <c:pt idx="17">
                  <c:v>6500</c:v>
                </c:pt>
                <c:pt idx="18">
                  <c:v>7000</c:v>
                </c:pt>
                <c:pt idx="19">
                  <c:v>7500</c:v>
                </c:pt>
                <c:pt idx="20">
                  <c:v>8000</c:v>
                </c:pt>
              </c:numCache>
            </c:numRef>
          </c:xVal>
          <c:yVal>
            <c:numRef>
              <c:f>Active!$U$2:$U$1004</c:f>
              <c:numCache>
                <c:formatCode>General</c:formatCode>
                <c:ptCount val="1003"/>
                <c:pt idx="0">
                  <c:v>3.2496921715550502</c:v>
                </c:pt>
                <c:pt idx="1">
                  <c:v>2.8571790560985351</c:v>
                </c:pt>
                <c:pt idx="2">
                  <c:v>2.4839791685117523</c:v>
                </c:pt>
                <c:pt idx="3">
                  <c:v>2.1300925087947014</c:v>
                </c:pt>
                <c:pt idx="4">
                  <c:v>1.7955190769473826</c:v>
                </c:pt>
                <c:pt idx="5">
                  <c:v>1.4802588729697963</c:v>
                </c:pt>
                <c:pt idx="6">
                  <c:v>1.1843118968619419</c:v>
                </c:pt>
                <c:pt idx="7">
                  <c:v>0.90767814862382024</c:v>
                </c:pt>
                <c:pt idx="8">
                  <c:v>0.65035762825543042</c:v>
                </c:pt>
                <c:pt idx="9">
                  <c:v>0.4123503357567731</c:v>
                </c:pt>
                <c:pt idx="10">
                  <c:v>0.19365627112784795</c:v>
                </c:pt>
                <c:pt idx="11">
                  <c:v>-5.7245656313452131E-3</c:v>
                </c:pt>
                <c:pt idx="12">
                  <c:v>-0.18579217452080599</c:v>
                </c:pt>
                <c:pt idx="13">
                  <c:v>-0.34654655554053437</c:v>
                </c:pt>
                <c:pt idx="14">
                  <c:v>-0.48798770869053065</c:v>
                </c:pt>
                <c:pt idx="15">
                  <c:v>-0.61011563397079471</c:v>
                </c:pt>
                <c:pt idx="16">
                  <c:v>-0.71293033138132622</c:v>
                </c:pt>
                <c:pt idx="17">
                  <c:v>-0.79643180092212673</c:v>
                </c:pt>
                <c:pt idx="18">
                  <c:v>-0.86062004259319402</c:v>
                </c:pt>
                <c:pt idx="19">
                  <c:v>-0.90549505639452921</c:v>
                </c:pt>
                <c:pt idx="20">
                  <c:v>-0.93105684232613228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41-4F7F-9112-1B17759AD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30776"/>
        <c:axId val="1"/>
      </c:scatterChart>
      <c:valAx>
        <c:axId val="564830776"/>
        <c:scaling>
          <c:orientation val="minMax"/>
          <c:max val="80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849602133066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830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19080948214805"/>
          <c:y val="0.92073298764483702"/>
          <c:w val="0.758731325251010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Boo - O-C Diagr.</a:t>
            </a:r>
          </a:p>
        </c:rich>
      </c:tx>
      <c:layout>
        <c:manualLayout>
          <c:xMode val="edge"/>
          <c:yMode val="edge"/>
          <c:x val="0.3787641996414473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525569784421"/>
          <c:y val="0.1458966565349544"/>
          <c:w val="0.8240893857169499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Active!$H$21:$H$1004</c:f>
              <c:numCache>
                <c:formatCode>General</c:formatCode>
                <c:ptCount val="984"/>
                <c:pt idx="0">
                  <c:v>2.8231320000013511</c:v>
                </c:pt>
                <c:pt idx="1">
                  <c:v>3.4201859999993758</c:v>
                </c:pt>
                <c:pt idx="2">
                  <c:v>2.8937130000012985</c:v>
                </c:pt>
                <c:pt idx="3">
                  <c:v>3.4213479999998526</c:v>
                </c:pt>
                <c:pt idx="4">
                  <c:v>3.4343420000004699</c:v>
                </c:pt>
                <c:pt idx="5">
                  <c:v>1.6934729999993579</c:v>
                </c:pt>
                <c:pt idx="6">
                  <c:v>0</c:v>
                </c:pt>
                <c:pt idx="7">
                  <c:v>1.6974989999980608</c:v>
                </c:pt>
                <c:pt idx="8">
                  <c:v>1.7220889999989595</c:v>
                </c:pt>
                <c:pt idx="9">
                  <c:v>1.7073589999999967</c:v>
                </c:pt>
                <c:pt idx="10">
                  <c:v>-0.64978199999313802</c:v>
                </c:pt>
                <c:pt idx="11">
                  <c:v>-0.64320100000622915</c:v>
                </c:pt>
                <c:pt idx="12">
                  <c:v>-0.66881199999625096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0F-46DB-A340-6314648F4E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Active!$D$21:$D$1004</c:f>
                <c:numCache>
                  <c:formatCode>General</c:formatCode>
                  <c:ptCount val="9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Active!$D$21:$D$1004</c:f>
                <c:numCache>
                  <c:formatCode>General</c:formatCode>
                  <c:ptCount val="9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Active!$I$21:$I$1004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F-46DB-A340-6314648F4E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Active!$D$21:$D$55</c:f>
                <c:numCache>
                  <c:formatCode>General</c:formatCode>
                  <c:ptCount val="35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Active!$D$21:$D$55</c:f>
                <c:numCache>
                  <c:formatCode>General</c:formatCode>
                  <c:ptCount val="35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Active!$J$21:$J$1004</c:f>
              <c:numCache>
                <c:formatCode>General</c:formatCode>
                <c:ptCount val="984"/>
                <c:pt idx="16">
                  <c:v>-0.86727600000449456</c:v>
                </c:pt>
                <c:pt idx="21">
                  <c:v>-0.89189800000167452</c:v>
                </c:pt>
                <c:pt idx="23">
                  <c:v>-0.90679599999566562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F-46DB-A340-6314648F4E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Active!$K$21:$K$1004</c:f>
              <c:numCache>
                <c:formatCode>General</c:formatCode>
                <c:ptCount val="984"/>
                <c:pt idx="13">
                  <c:v>-0.79686799999763025</c:v>
                </c:pt>
                <c:pt idx="14">
                  <c:v>-0.79454399999667658</c:v>
                </c:pt>
                <c:pt idx="15">
                  <c:v>-0.79350400000112131</c:v>
                </c:pt>
                <c:pt idx="17">
                  <c:v>-0.8925939999971888</c:v>
                </c:pt>
                <c:pt idx="18">
                  <c:v>-0.88789399999950547</c:v>
                </c:pt>
                <c:pt idx="19">
                  <c:v>-0.88539399999717716</c:v>
                </c:pt>
                <c:pt idx="20">
                  <c:v>-0.88629199999559205</c:v>
                </c:pt>
                <c:pt idx="22">
                  <c:v>-0.89780600000085542</c:v>
                </c:pt>
                <c:pt idx="24">
                  <c:v>-0.91490199999680044</c:v>
                </c:pt>
                <c:pt idx="25">
                  <c:v>-0.91381600000022445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0F-46DB-A340-6314648F4E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0F-46DB-A340-6314648F4E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0F-46DB-A340-6314648F4E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5">
                    <c:v>0</c:v>
                  </c:pt>
                  <c:pt idx="6">
                    <c:v>0</c:v>
                  </c:pt>
                  <c:pt idx="13">
                    <c:v>8.9999999999999998E-4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5.9999999999999995E-4</c:v>
                  </c:pt>
                  <c:pt idx="18">
                    <c:v>5.0000000000000001E-4</c:v>
                  </c:pt>
                  <c:pt idx="19">
                    <c:v>1.5E-3</c:v>
                  </c:pt>
                  <c:pt idx="20">
                    <c:v>5.0000000000000001E-4</c:v>
                  </c:pt>
                  <c:pt idx="21">
                    <c:v>1.15E-2</c:v>
                  </c:pt>
                  <c:pt idx="22">
                    <c:v>1.1000000000000001E-3</c:v>
                  </c:pt>
                  <c:pt idx="23">
                    <c:v>8.8999999999999999E-3</c:v>
                  </c:pt>
                  <c:pt idx="24">
                    <c:v>9.1000000000000004E-3</c:v>
                  </c:pt>
                  <c:pt idx="25">
                    <c:v>1.1900000000000001E-2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Active!$N$21:$N$1004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0F-46DB-A340-6314648F4E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-1942</c:v>
                </c:pt>
                <c:pt idx="1">
                  <c:v>-1941</c:v>
                </c:pt>
                <c:pt idx="2">
                  <c:v>-1940.5</c:v>
                </c:pt>
                <c:pt idx="3">
                  <c:v>-1938</c:v>
                </c:pt>
                <c:pt idx="4">
                  <c:v>-1827</c:v>
                </c:pt>
                <c:pt idx="5">
                  <c:v>-0.5</c:v>
                </c:pt>
                <c:pt idx="6">
                  <c:v>0</c:v>
                </c:pt>
                <c:pt idx="7">
                  <c:v>18.5</c:v>
                </c:pt>
                <c:pt idx="8">
                  <c:v>103.5</c:v>
                </c:pt>
                <c:pt idx="9">
                  <c:v>108.5</c:v>
                </c:pt>
                <c:pt idx="10">
                  <c:v>5967</c:v>
                </c:pt>
                <c:pt idx="11">
                  <c:v>5968.5</c:v>
                </c:pt>
                <c:pt idx="12">
                  <c:v>5972</c:v>
                </c:pt>
                <c:pt idx="13">
                  <c:v>6408</c:v>
                </c:pt>
                <c:pt idx="14">
                  <c:v>6414</c:v>
                </c:pt>
                <c:pt idx="15">
                  <c:v>6424</c:v>
                </c:pt>
                <c:pt idx="16">
                  <c:v>6856</c:v>
                </c:pt>
                <c:pt idx="17">
                  <c:v>7139</c:v>
                </c:pt>
                <c:pt idx="18">
                  <c:v>7139</c:v>
                </c:pt>
                <c:pt idx="19">
                  <c:v>7139</c:v>
                </c:pt>
                <c:pt idx="20">
                  <c:v>7152</c:v>
                </c:pt>
                <c:pt idx="21">
                  <c:v>7163</c:v>
                </c:pt>
                <c:pt idx="22">
                  <c:v>7261</c:v>
                </c:pt>
                <c:pt idx="23">
                  <c:v>7376</c:v>
                </c:pt>
                <c:pt idx="24">
                  <c:v>7587</c:v>
                </c:pt>
                <c:pt idx="25">
                  <c:v>7696</c:v>
                </c:pt>
              </c:numCache>
            </c:numRef>
          </c:xVal>
          <c:yVal>
            <c:numRef>
              <c:f>Active!$O$21:$O$1004</c:f>
              <c:numCache>
                <c:formatCode>General</c:formatCode>
                <c:ptCount val="984"/>
                <c:pt idx="10">
                  <c:v>-0.82097599425113033</c:v>
                </c:pt>
                <c:pt idx="11">
                  <c:v>-0.8210618613711036</c:v>
                </c:pt>
                <c:pt idx="12">
                  <c:v>-0.82126221798437449</c:v>
                </c:pt>
                <c:pt idx="13">
                  <c:v>-0.84622092752327105</c:v>
                </c:pt>
                <c:pt idx="14">
                  <c:v>-0.84656439600316413</c:v>
                </c:pt>
                <c:pt idx="15">
                  <c:v>-0.84713684346965257</c:v>
                </c:pt>
                <c:pt idx="16">
                  <c:v>-0.87186657402195378</c:v>
                </c:pt>
                <c:pt idx="17">
                  <c:v>-0.88806683732357694</c:v>
                </c:pt>
                <c:pt idx="18">
                  <c:v>-0.88806683732357694</c:v>
                </c:pt>
                <c:pt idx="19">
                  <c:v>-0.88806683732357694</c:v>
                </c:pt>
                <c:pt idx="20">
                  <c:v>-0.88881101903001203</c:v>
                </c:pt>
                <c:pt idx="21">
                  <c:v>-0.88944071124314927</c:v>
                </c:pt>
                <c:pt idx="22">
                  <c:v>-0.89505069641473611</c:v>
                </c:pt>
                <c:pt idx="23">
                  <c:v>-0.90163384227935328</c:v>
                </c:pt>
                <c:pt idx="24">
                  <c:v>-0.91371248382225967</c:v>
                </c:pt>
                <c:pt idx="25">
                  <c:v>-0.91995216120698386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0F-46DB-A340-6314648F4ECA}"/>
            </c:ext>
          </c:extLst>
        </c:ser>
        <c:ser>
          <c:idx val="8"/>
          <c:order val="8"/>
          <c:tx>
            <c:strRef>
              <c:f>Active!$U$1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Active!$T$2:$T$1004</c:f>
              <c:numCache>
                <c:formatCode>General</c:formatCode>
                <c:ptCount val="1003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3500</c:v>
                </c:pt>
                <c:pt idx="12">
                  <c:v>4000</c:v>
                </c:pt>
                <c:pt idx="13">
                  <c:v>4500</c:v>
                </c:pt>
                <c:pt idx="14">
                  <c:v>5000</c:v>
                </c:pt>
                <c:pt idx="15">
                  <c:v>5500</c:v>
                </c:pt>
                <c:pt idx="16">
                  <c:v>6000</c:v>
                </c:pt>
                <c:pt idx="17">
                  <c:v>6500</c:v>
                </c:pt>
                <c:pt idx="18">
                  <c:v>7000</c:v>
                </c:pt>
                <c:pt idx="19">
                  <c:v>7500</c:v>
                </c:pt>
                <c:pt idx="20">
                  <c:v>8000</c:v>
                </c:pt>
              </c:numCache>
            </c:numRef>
          </c:xVal>
          <c:yVal>
            <c:numRef>
              <c:f>Active!$U$2:$U$1004</c:f>
              <c:numCache>
                <c:formatCode>General</c:formatCode>
                <c:ptCount val="1003"/>
                <c:pt idx="0">
                  <c:v>3.2496921715550502</c:v>
                </c:pt>
                <c:pt idx="1">
                  <c:v>2.8571790560985351</c:v>
                </c:pt>
                <c:pt idx="2">
                  <c:v>2.4839791685117523</c:v>
                </c:pt>
                <c:pt idx="3">
                  <c:v>2.1300925087947014</c:v>
                </c:pt>
                <c:pt idx="4">
                  <c:v>1.7955190769473826</c:v>
                </c:pt>
                <c:pt idx="5">
                  <c:v>1.4802588729697963</c:v>
                </c:pt>
                <c:pt idx="6">
                  <c:v>1.1843118968619419</c:v>
                </c:pt>
                <c:pt idx="7">
                  <c:v>0.90767814862382024</c:v>
                </c:pt>
                <c:pt idx="8">
                  <c:v>0.65035762825543042</c:v>
                </c:pt>
                <c:pt idx="9">
                  <c:v>0.4123503357567731</c:v>
                </c:pt>
                <c:pt idx="10">
                  <c:v>0.19365627112784795</c:v>
                </c:pt>
                <c:pt idx="11">
                  <c:v>-5.7245656313452131E-3</c:v>
                </c:pt>
                <c:pt idx="12">
                  <c:v>-0.18579217452080599</c:v>
                </c:pt>
                <c:pt idx="13">
                  <c:v>-0.34654655554053437</c:v>
                </c:pt>
                <c:pt idx="14">
                  <c:v>-0.48798770869053065</c:v>
                </c:pt>
                <c:pt idx="15">
                  <c:v>-0.61011563397079471</c:v>
                </c:pt>
                <c:pt idx="16">
                  <c:v>-0.71293033138132622</c:v>
                </c:pt>
                <c:pt idx="17">
                  <c:v>-0.79643180092212673</c:v>
                </c:pt>
                <c:pt idx="18">
                  <c:v>-0.86062004259319402</c:v>
                </c:pt>
                <c:pt idx="19">
                  <c:v>-0.90549505639452921</c:v>
                </c:pt>
                <c:pt idx="20">
                  <c:v>-0.93105684232613228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0F-46DB-A340-6314648F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354256"/>
        <c:axId val="1"/>
      </c:scatterChart>
      <c:valAx>
        <c:axId val="718354256"/>
        <c:scaling>
          <c:orientation val="minMax"/>
          <c:max val="8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949444908926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354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57227414718959"/>
          <c:y val="0.92097264437689974"/>
          <c:w val="0.757528399282894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Boo - O-C Diagr.</a:t>
            </a:r>
          </a:p>
        </c:rich>
      </c:tx>
      <c:layout>
        <c:manualLayout>
          <c:xMode val="edge"/>
          <c:yMode val="edge"/>
          <c:x val="0.3777784443611215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634168126798494"/>
          <c:w val="0.8174615846068710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(2)'!$H$21:$H$1004</c:f>
              <c:numCache>
                <c:formatCode>General</c:formatCode>
                <c:ptCount val="984"/>
                <c:pt idx="5">
                  <c:v>8.5323649999991176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B9-48E5-83DA-D81EA1D259A9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(2)'!$D$21:$D$1004</c:f>
                <c:numCache>
                  <c:formatCode>General</c:formatCode>
                  <c:ptCount val="9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(2)'!$D$21:$D$1004</c:f>
                <c:numCache>
                  <c:formatCode>General</c:formatCode>
                  <c:ptCount val="9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(2)'!$I$21:$I$1004</c:f>
              <c:numCache>
                <c:formatCode>General</c:formatCode>
                <c:ptCount val="984"/>
                <c:pt idx="9">
                  <c:v>-0.64978199999313802</c:v>
                </c:pt>
                <c:pt idx="10">
                  <c:v>-0.64320100000622915</c:v>
                </c:pt>
                <c:pt idx="11">
                  <c:v>-0.66881199999625096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B9-48E5-83DA-D81EA1D259A9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(2)'!$D$21:$D$55</c:f>
                <c:numCache>
                  <c:formatCode>General</c:formatCode>
                  <c:ptCount val="35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(2)'!$D$21:$D$55</c:f>
                <c:numCache>
                  <c:formatCode>General</c:formatCode>
                  <c:ptCount val="35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(2)'!$J$21:$J$1004</c:f>
              <c:numCache>
                <c:formatCode>General</c:formatCode>
                <c:ptCount val="984"/>
                <c:pt idx="12">
                  <c:v>-0.79686799999763025</c:v>
                </c:pt>
                <c:pt idx="13">
                  <c:v>-0.79454399999667658</c:v>
                </c:pt>
                <c:pt idx="14">
                  <c:v>-0.79350400000112131</c:v>
                </c:pt>
                <c:pt idx="15">
                  <c:v>-0.86727600000449456</c:v>
                </c:pt>
                <c:pt idx="19">
                  <c:v>-0.88629199999559205</c:v>
                </c:pt>
                <c:pt idx="20">
                  <c:v>-0.89189800000167452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B9-48E5-83DA-D81EA1D259A9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(2)'!$K$21:$K$1004</c:f>
              <c:numCache>
                <c:formatCode>General</c:formatCode>
                <c:ptCount val="984"/>
                <c:pt idx="16">
                  <c:v>-0.8925939999971888</c:v>
                </c:pt>
                <c:pt idx="17">
                  <c:v>-0.88789399999950547</c:v>
                </c:pt>
                <c:pt idx="18">
                  <c:v>-0.88539399999717716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B9-48E5-83DA-D81EA1D259A9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B9-48E5-83DA-D81EA1D259A9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B9-48E5-83DA-D81EA1D259A9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(2)'!$N$21:$N$1004</c:f>
              <c:numCache>
                <c:formatCode>General</c:formatCode>
                <c:ptCount val="984"/>
                <c:pt idx="0">
                  <c:v>13.061970000002475</c:v>
                </c:pt>
                <c:pt idx="1">
                  <c:v>13.6590240000005</c:v>
                </c:pt>
                <c:pt idx="2">
                  <c:v>13.132550999998784</c:v>
                </c:pt>
                <c:pt idx="3">
                  <c:v>13.660186000000976</c:v>
                </c:pt>
                <c:pt idx="4">
                  <c:v>13.673179999997956</c:v>
                </c:pt>
                <c:pt idx="6">
                  <c:v>8.52339099999881</c:v>
                </c:pt>
                <c:pt idx="7">
                  <c:v>8.5479809999997087</c:v>
                </c:pt>
                <c:pt idx="8">
                  <c:v>8.533250999997108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B9-48E5-83DA-D81EA1D259A9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(2)'!$O$21:$O$1004</c:f>
              <c:numCache>
                <c:formatCode>General</c:formatCode>
                <c:ptCount val="984"/>
                <c:pt idx="9">
                  <c:v>-0.68494479494903726</c:v>
                </c:pt>
                <c:pt idx="10">
                  <c:v>-0.68521647868278013</c:v>
                </c:pt>
                <c:pt idx="11">
                  <c:v>-0.68585040739484637</c:v>
                </c:pt>
                <c:pt idx="12">
                  <c:v>-0.76481981266939014</c:v>
                </c:pt>
                <c:pt idx="13">
                  <c:v>-0.76590654760436094</c:v>
                </c:pt>
                <c:pt idx="14">
                  <c:v>-0.76771777249597895</c:v>
                </c:pt>
                <c:pt idx="15">
                  <c:v>-0.84596268781387574</c:v>
                </c:pt>
                <c:pt idx="16">
                  <c:v>-0.89722035224666441</c:v>
                </c:pt>
                <c:pt idx="17">
                  <c:v>-0.89722035224666441</c:v>
                </c:pt>
                <c:pt idx="18">
                  <c:v>-0.89722035224666441</c:v>
                </c:pt>
                <c:pt idx="19">
                  <c:v>-0.89957494460576792</c:v>
                </c:pt>
                <c:pt idx="20">
                  <c:v>-0.90156729198654761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B9-48E5-83DA-D81EA1D259A9}"/>
            </c:ext>
          </c:extLst>
        </c:ser>
        <c:ser>
          <c:idx val="8"/>
          <c:order val="8"/>
          <c:tx>
            <c:strRef>
              <c:f>'A (2)'!$U$1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(2)'!$R$2:$R$1004</c:f>
              <c:numCache>
                <c:formatCode>General</c:formatCode>
                <c:ptCount val="1003"/>
                <c:pt idx="0">
                  <c:v>5600</c:v>
                </c:pt>
                <c:pt idx="1">
                  <c:v>5800</c:v>
                </c:pt>
                <c:pt idx="2">
                  <c:v>6000</c:v>
                </c:pt>
                <c:pt idx="3">
                  <c:v>6200</c:v>
                </c:pt>
                <c:pt idx="4">
                  <c:v>6400</c:v>
                </c:pt>
                <c:pt idx="5">
                  <c:v>6600</c:v>
                </c:pt>
                <c:pt idx="6">
                  <c:v>6800</c:v>
                </c:pt>
                <c:pt idx="7">
                  <c:v>7000</c:v>
                </c:pt>
                <c:pt idx="8">
                  <c:v>7200</c:v>
                </c:pt>
                <c:pt idx="9">
                  <c:v>7400</c:v>
                </c:pt>
                <c:pt idx="10">
                  <c:v>7600</c:v>
                </c:pt>
                <c:pt idx="11">
                  <c:v>7800</c:v>
                </c:pt>
                <c:pt idx="12">
                  <c:v>8000</c:v>
                </c:pt>
                <c:pt idx="13">
                  <c:v>8200</c:v>
                </c:pt>
                <c:pt idx="14">
                  <c:v>8400</c:v>
                </c:pt>
                <c:pt idx="15">
                  <c:v>8600</c:v>
                </c:pt>
                <c:pt idx="16">
                  <c:v>8800</c:v>
                </c:pt>
                <c:pt idx="17">
                  <c:v>9000</c:v>
                </c:pt>
                <c:pt idx="18">
                  <c:v>9200</c:v>
                </c:pt>
                <c:pt idx="19">
                  <c:v>9400</c:v>
                </c:pt>
                <c:pt idx="20">
                  <c:v>9600</c:v>
                </c:pt>
                <c:pt idx="28">
                  <c:v>3.6737245636880601E-8</c:v>
                </c:pt>
                <c:pt idx="29">
                  <c:v>4.8915568292734081E-5</c:v>
                </c:pt>
                <c:pt idx="30">
                  <c:v>2.9615702893572146E-4</c:v>
                </c:pt>
                <c:pt idx="31">
                  <c:v>7.3833824611696744E-6</c:v>
                </c:pt>
                <c:pt idx="32">
                  <c:v>1.2412757319600848E-6</c:v>
                </c:pt>
                <c:pt idx="33">
                  <c:v>2.1520219419477027E-5</c:v>
                </c:pt>
                <c:pt idx="34">
                  <c:v>3.02838182428115E-5</c:v>
                </c:pt>
                <c:pt idx="35">
                  <c:v>3.1186295941665585E-5</c:v>
                </c:pt>
                <c:pt idx="36">
                  <c:v>7.8228572168595067E-7</c:v>
                </c:pt>
                <c:pt idx="37">
                  <c:v>2.6099398537544271E-6</c:v>
                </c:pt>
                <c:pt idx="38">
                  <c:v>5.0699798201210607E-7</c:v>
                </c:pt>
                <c:pt idx="39">
                  <c:v>2.4441504196909828E-5</c:v>
                </c:pt>
              </c:numCache>
            </c:numRef>
          </c:xVal>
          <c:yVal>
            <c:numRef>
              <c:f>'A (2)'!$S$2:$S$1004</c:f>
              <c:numCache>
                <c:formatCode>General</c:formatCode>
                <c:ptCount val="1003"/>
                <c:pt idx="0">
                  <c:v>-0.47848855047649597</c:v>
                </c:pt>
                <c:pt idx="1">
                  <c:v>-0.57745367674354764</c:v>
                </c:pt>
                <c:pt idx="2">
                  <c:v>-0.66271425333979561</c:v>
                </c:pt>
                <c:pt idx="3">
                  <c:v>-0.73427028026524432</c:v>
                </c:pt>
                <c:pt idx="4">
                  <c:v>-0.79212175751989289</c:v>
                </c:pt>
                <c:pt idx="5">
                  <c:v>-0.83626868510373775</c:v>
                </c:pt>
                <c:pt idx="6">
                  <c:v>-0.86671106301678158</c:v>
                </c:pt>
                <c:pt idx="7">
                  <c:v>-0.88344889125902704</c:v>
                </c:pt>
                <c:pt idx="8">
                  <c:v>-0.88648216983046879</c:v>
                </c:pt>
                <c:pt idx="9">
                  <c:v>-0.87581089873111218</c:v>
                </c:pt>
                <c:pt idx="10">
                  <c:v>-0.85143507796095008</c:v>
                </c:pt>
                <c:pt idx="11">
                  <c:v>-0.81335470751998784</c:v>
                </c:pt>
                <c:pt idx="12">
                  <c:v>-0.76156978740822723</c:v>
                </c:pt>
                <c:pt idx="13">
                  <c:v>-0.69608031762566114</c:v>
                </c:pt>
                <c:pt idx="14">
                  <c:v>-0.6168862981722949</c:v>
                </c:pt>
                <c:pt idx="15">
                  <c:v>-0.52398772904813029</c:v>
                </c:pt>
                <c:pt idx="16">
                  <c:v>-0.41738461025316198</c:v>
                </c:pt>
                <c:pt idx="17">
                  <c:v>-0.29707694178739175</c:v>
                </c:pt>
                <c:pt idx="18">
                  <c:v>-0.16306472365082492</c:v>
                </c:pt>
                <c:pt idx="19">
                  <c:v>-1.5347955843450833E-2</c:v>
                </c:pt>
                <c:pt idx="20">
                  <c:v>0.1460733616347234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B9-48E5-83DA-D81EA1D25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669600"/>
        <c:axId val="1"/>
      </c:scatterChart>
      <c:valAx>
        <c:axId val="674669600"/>
        <c:scaling>
          <c:orientation val="minMax"/>
          <c:max val="80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849602133066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669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539699204266133"/>
          <c:y val="0.92073298764483702"/>
          <c:w val="0.98730308711411063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Boo - O-C Diagr.</a:t>
            </a:r>
          </a:p>
        </c:rich>
      </c:tx>
      <c:layout>
        <c:manualLayout>
          <c:xMode val="edge"/>
          <c:yMode val="edge"/>
          <c:x val="0.3787641996414473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5904601686777"/>
          <c:y val="0.14723926380368099"/>
          <c:w val="0.8335981093982992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(2)'!$H$21:$H$1004</c:f>
              <c:numCache>
                <c:formatCode>General</c:formatCode>
                <c:ptCount val="984"/>
                <c:pt idx="5">
                  <c:v>8.5323649999991176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8A-4BEA-85B6-809DBB7A53C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(2)'!$D$21:$D$1004</c:f>
                <c:numCache>
                  <c:formatCode>General</c:formatCode>
                  <c:ptCount val="9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(2)'!$D$21:$D$1004</c:f>
                <c:numCache>
                  <c:formatCode>General</c:formatCode>
                  <c:ptCount val="9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(2)'!$I$21:$I$1004</c:f>
              <c:numCache>
                <c:formatCode>General</c:formatCode>
                <c:ptCount val="984"/>
                <c:pt idx="9">
                  <c:v>-0.64978199999313802</c:v>
                </c:pt>
                <c:pt idx="10">
                  <c:v>-0.64320100000622915</c:v>
                </c:pt>
                <c:pt idx="11">
                  <c:v>-0.66881199999625096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8A-4BEA-85B6-809DBB7A53C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(2)'!$D$21:$D$55</c:f>
                <c:numCache>
                  <c:formatCode>General</c:formatCode>
                  <c:ptCount val="35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(2)'!$D$21:$D$55</c:f>
                <c:numCache>
                  <c:formatCode>General</c:formatCode>
                  <c:ptCount val="35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(2)'!$J$21:$J$1004</c:f>
              <c:numCache>
                <c:formatCode>General</c:formatCode>
                <c:ptCount val="984"/>
                <c:pt idx="12">
                  <c:v>-0.79686799999763025</c:v>
                </c:pt>
                <c:pt idx="13">
                  <c:v>-0.79454399999667658</c:v>
                </c:pt>
                <c:pt idx="14">
                  <c:v>-0.79350400000112131</c:v>
                </c:pt>
                <c:pt idx="15">
                  <c:v>-0.86727600000449456</c:v>
                </c:pt>
                <c:pt idx="19">
                  <c:v>-0.88629199999559205</c:v>
                </c:pt>
                <c:pt idx="20">
                  <c:v>-0.89189800000167452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8A-4BEA-85B6-809DBB7A53C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(2)'!$K$21:$K$1004</c:f>
              <c:numCache>
                <c:formatCode>General</c:formatCode>
                <c:ptCount val="984"/>
                <c:pt idx="16">
                  <c:v>-0.8925939999971888</c:v>
                </c:pt>
                <c:pt idx="17">
                  <c:v>-0.88789399999950547</c:v>
                </c:pt>
                <c:pt idx="18">
                  <c:v>-0.88539399999717716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8A-4BEA-85B6-809DBB7A53C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8A-4BEA-85B6-809DBB7A53C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8A-4BEA-85B6-809DBB7A53C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plus>
            <c:minus>
              <c:numRef>
                <c:f>'A (2)'!$D$21:$D$104</c:f>
                <c:numCache>
                  <c:formatCode>General</c:formatCode>
                  <c:ptCount val="84"/>
                  <c:pt idx="5">
                    <c:v>0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5.9999999999999995E-4</c:v>
                  </c:pt>
                  <c:pt idx="17">
                    <c:v>5.0000000000000001E-4</c:v>
                  </c:pt>
                  <c:pt idx="18">
                    <c:v>1.5E-3</c:v>
                  </c:pt>
                  <c:pt idx="19">
                    <c:v>5.0000000000000001E-4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(2)'!$N$21:$N$1004</c:f>
              <c:numCache>
                <c:formatCode>General</c:formatCode>
                <c:ptCount val="984"/>
                <c:pt idx="0">
                  <c:v>13.061970000002475</c:v>
                </c:pt>
                <c:pt idx="1">
                  <c:v>13.6590240000005</c:v>
                </c:pt>
                <c:pt idx="2">
                  <c:v>13.132550999998784</c:v>
                </c:pt>
                <c:pt idx="3">
                  <c:v>13.660186000000976</c:v>
                </c:pt>
                <c:pt idx="4">
                  <c:v>13.673179999997956</c:v>
                </c:pt>
                <c:pt idx="6">
                  <c:v>8.52339099999881</c:v>
                </c:pt>
                <c:pt idx="7">
                  <c:v>8.5479809999997087</c:v>
                </c:pt>
                <c:pt idx="8">
                  <c:v>8.533250999997108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8A-4BEA-85B6-809DBB7A53C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(2)'!$F$21:$F$1004</c:f>
              <c:numCache>
                <c:formatCode>General</c:formatCode>
                <c:ptCount val="984"/>
                <c:pt idx="0">
                  <c:v>-1945</c:v>
                </c:pt>
                <c:pt idx="1">
                  <c:v>-1944</c:v>
                </c:pt>
                <c:pt idx="2">
                  <c:v>-1943.5</c:v>
                </c:pt>
                <c:pt idx="3">
                  <c:v>-1941</c:v>
                </c:pt>
                <c:pt idx="4">
                  <c:v>-1830</c:v>
                </c:pt>
                <c:pt idx="5">
                  <c:v>-2.5</c:v>
                </c:pt>
                <c:pt idx="6">
                  <c:v>16.5</c:v>
                </c:pt>
                <c:pt idx="7">
                  <c:v>101.5</c:v>
                </c:pt>
                <c:pt idx="8">
                  <c:v>106.5</c:v>
                </c:pt>
                <c:pt idx="9">
                  <c:v>5967</c:v>
                </c:pt>
                <c:pt idx="10">
                  <c:v>5968.5</c:v>
                </c:pt>
                <c:pt idx="11">
                  <c:v>5972</c:v>
                </c:pt>
                <c:pt idx="12">
                  <c:v>6408</c:v>
                </c:pt>
                <c:pt idx="13">
                  <c:v>6414</c:v>
                </c:pt>
                <c:pt idx="14">
                  <c:v>6424</c:v>
                </c:pt>
                <c:pt idx="15">
                  <c:v>6856</c:v>
                </c:pt>
                <c:pt idx="16">
                  <c:v>7139</c:v>
                </c:pt>
                <c:pt idx="17">
                  <c:v>7139</c:v>
                </c:pt>
                <c:pt idx="18">
                  <c:v>7139</c:v>
                </c:pt>
                <c:pt idx="19">
                  <c:v>7152</c:v>
                </c:pt>
                <c:pt idx="20">
                  <c:v>7163</c:v>
                </c:pt>
              </c:numCache>
            </c:numRef>
          </c:xVal>
          <c:yVal>
            <c:numRef>
              <c:f>'A (2)'!$O$21:$O$1004</c:f>
              <c:numCache>
                <c:formatCode>General</c:formatCode>
                <c:ptCount val="984"/>
                <c:pt idx="9">
                  <c:v>-0.68494479494903726</c:v>
                </c:pt>
                <c:pt idx="10">
                  <c:v>-0.68521647868278013</c:v>
                </c:pt>
                <c:pt idx="11">
                  <c:v>-0.68585040739484637</c:v>
                </c:pt>
                <c:pt idx="12">
                  <c:v>-0.76481981266939014</c:v>
                </c:pt>
                <c:pt idx="13">
                  <c:v>-0.76590654760436094</c:v>
                </c:pt>
                <c:pt idx="14">
                  <c:v>-0.76771777249597895</c:v>
                </c:pt>
                <c:pt idx="15">
                  <c:v>-0.84596268781387574</c:v>
                </c:pt>
                <c:pt idx="16">
                  <c:v>-0.89722035224666441</c:v>
                </c:pt>
                <c:pt idx="17">
                  <c:v>-0.89722035224666441</c:v>
                </c:pt>
                <c:pt idx="18">
                  <c:v>-0.89722035224666441</c:v>
                </c:pt>
                <c:pt idx="19">
                  <c:v>-0.89957494460576792</c:v>
                </c:pt>
                <c:pt idx="20">
                  <c:v>-0.90156729198654761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8A-4BEA-85B6-809DBB7A53C0}"/>
            </c:ext>
          </c:extLst>
        </c:ser>
        <c:ser>
          <c:idx val="8"/>
          <c:order val="8"/>
          <c:tx>
            <c:strRef>
              <c:f>'A (2)'!$U$1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(2)'!$T$2:$T$1004</c:f>
              <c:numCache>
                <c:formatCode>General</c:formatCode>
                <c:ptCount val="1003"/>
                <c:pt idx="0">
                  <c:v>-2000</c:v>
                </c:pt>
                <c:pt idx="1">
                  <c:v>-1500</c:v>
                </c:pt>
                <c:pt idx="2">
                  <c:v>-1000</c:v>
                </c:pt>
                <c:pt idx="3">
                  <c:v>-500</c:v>
                </c:pt>
                <c:pt idx="4">
                  <c:v>0</c:v>
                </c:pt>
                <c:pt idx="5">
                  <c:v>500</c:v>
                </c:pt>
                <c:pt idx="6">
                  <c:v>1000</c:v>
                </c:pt>
                <c:pt idx="7">
                  <c:v>1500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3500</c:v>
                </c:pt>
                <c:pt idx="12">
                  <c:v>4000</c:v>
                </c:pt>
                <c:pt idx="13">
                  <c:v>4500</c:v>
                </c:pt>
                <c:pt idx="14">
                  <c:v>5000</c:v>
                </c:pt>
                <c:pt idx="15">
                  <c:v>5500</c:v>
                </c:pt>
                <c:pt idx="16">
                  <c:v>6000</c:v>
                </c:pt>
                <c:pt idx="17">
                  <c:v>6500</c:v>
                </c:pt>
                <c:pt idx="18">
                  <c:v>7000</c:v>
                </c:pt>
                <c:pt idx="19">
                  <c:v>7500</c:v>
                </c:pt>
                <c:pt idx="20">
                  <c:v>8000</c:v>
                </c:pt>
              </c:numCache>
            </c:numRef>
          </c:xVal>
          <c:yVal>
            <c:numRef>
              <c:f>'A (2)'!$U$2:$U$1004</c:f>
              <c:numCache>
                <c:formatCode>General</c:formatCode>
                <c:ptCount val="1003"/>
                <c:pt idx="0">
                  <c:v>13.437257553735163</c:v>
                </c:pt>
                <c:pt idx="1">
                  <c:v>11.913608549974168</c:v>
                </c:pt>
                <c:pt idx="2">
                  <c:v>10.475612981655683</c:v>
                </c:pt>
                <c:pt idx="3">
                  <c:v>9.1232708487797058</c:v>
                </c:pt>
                <c:pt idx="4">
                  <c:v>7.8565821513462355</c:v>
                </c:pt>
                <c:pt idx="5">
                  <c:v>6.6755468893552736</c:v>
                </c:pt>
                <c:pt idx="6">
                  <c:v>5.5801650628068185</c:v>
                </c:pt>
                <c:pt idx="7">
                  <c:v>4.5704366717008726</c:v>
                </c:pt>
                <c:pt idx="8">
                  <c:v>3.6463617160374335</c:v>
                </c:pt>
                <c:pt idx="9">
                  <c:v>2.8079401958165029</c:v>
                </c:pt>
                <c:pt idx="10">
                  <c:v>2.0551721110380798</c:v>
                </c:pt>
                <c:pt idx="11">
                  <c:v>1.3880574617021639</c:v>
                </c:pt>
                <c:pt idx="12">
                  <c:v>0.80659624780875561</c:v>
                </c:pt>
                <c:pt idx="13">
                  <c:v>0.31078846935785709</c:v>
                </c:pt>
                <c:pt idx="14">
                  <c:v>-9.9365873650535619E-2</c:v>
                </c:pt>
                <c:pt idx="15">
                  <c:v>-0.42386678121642074</c:v>
                </c:pt>
                <c:pt idx="16">
                  <c:v>-0.66271425333979561</c:v>
                </c:pt>
                <c:pt idx="17">
                  <c:v>-0.81590829002066378</c:v>
                </c:pt>
                <c:pt idx="18">
                  <c:v>-0.88344889125902704</c:v>
                </c:pt>
                <c:pt idx="19">
                  <c:v>-0.86533605705487915</c:v>
                </c:pt>
                <c:pt idx="20">
                  <c:v>-0.76156978740822723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8A-4BEA-85B6-809DBB7A5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670320"/>
        <c:axId val="1"/>
      </c:scatterChart>
      <c:valAx>
        <c:axId val="674670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55800275361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670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251997620741147"/>
          <c:y val="0.92024539877300615"/>
          <c:w val="0.97305946899268336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419100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756E365C-6C8A-030E-5508-1D0D785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161925</xdr:colOff>
      <xdr:row>0</xdr:row>
      <xdr:rowOff>0</xdr:rowOff>
    </xdr:from>
    <xdr:to>
      <xdr:col>27</xdr:col>
      <xdr:colOff>0</xdr:colOff>
      <xdr:row>18</xdr:row>
      <xdr:rowOff>114300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EB9BE6C6-641D-9691-8C84-32EE53645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419100</xdr:colOff>
      <xdr:row>18</xdr:row>
      <xdr:rowOff>19050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E7A35B00-221E-963D-CC90-F1DE6FE2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22</xdr:row>
      <xdr:rowOff>28575</xdr:rowOff>
    </xdr:from>
    <xdr:to>
      <xdr:col>19</xdr:col>
      <xdr:colOff>190500</xdr:colOff>
      <xdr:row>41</xdr:row>
      <xdr:rowOff>57150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225A91EC-DBEA-E8DF-B8C0-6E069823B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konkoly.hu/cgi-bin/IBVS?557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837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592" TargetMode="External"/><Relationship Id="rId9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11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W40" sqref="W4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>
      <c r="A1" s="1" t="s">
        <v>58</v>
      </c>
      <c r="B1" s="1"/>
      <c r="T1" s="6" t="s">
        <v>10</v>
      </c>
      <c r="U1" s="8" t="s">
        <v>22</v>
      </c>
    </row>
    <row r="2" spans="1:21" ht="12.95" customHeight="1">
      <c r="A2" t="s">
        <v>25</v>
      </c>
      <c r="B2" t="s">
        <v>59</v>
      </c>
      <c r="T2" s="26">
        <v>-2000</v>
      </c>
      <c r="U2" s="26">
        <f t="shared" ref="U2:U16" si="0">+D$11+D$12*T2+D$13*T2^2</f>
        <v>3.2496921715550502</v>
      </c>
    </row>
    <row r="3" spans="1:21" ht="12.95" customHeight="1" thickBot="1">
      <c r="C3" s="53" t="s">
        <v>62</v>
      </c>
      <c r="F3" s="57" t="s">
        <v>64</v>
      </c>
      <c r="T3" s="26">
        <v>-1500</v>
      </c>
      <c r="U3" s="26">
        <f t="shared" si="0"/>
        <v>2.8571790560985351</v>
      </c>
    </row>
    <row r="4" spans="1:21" ht="12.95" customHeight="1" thickTop="1" thickBot="1">
      <c r="A4" s="7" t="s">
        <v>1</v>
      </c>
      <c r="B4" s="7"/>
      <c r="C4" s="2">
        <v>31235.407999999999</v>
      </c>
      <c r="D4" s="3">
        <v>3.4129459999999998</v>
      </c>
      <c r="T4" s="26">
        <v>-1000</v>
      </c>
      <c r="U4" s="26">
        <f t="shared" si="0"/>
        <v>2.4839791685117523</v>
      </c>
    </row>
    <row r="5" spans="1:21" ht="12.95" customHeight="1" thickTop="1">
      <c r="A5" s="30" t="s">
        <v>36</v>
      </c>
      <c r="B5" s="31"/>
      <c r="C5" s="32">
        <v>-9.5</v>
      </c>
      <c r="D5" s="31" t="s">
        <v>37</v>
      </c>
      <c r="T5" s="26">
        <v>-500</v>
      </c>
      <c r="U5" s="26">
        <f t="shared" si="0"/>
        <v>2.1300925087947014</v>
      </c>
    </row>
    <row r="6" spans="1:21" ht="12.95" customHeight="1">
      <c r="A6" s="7" t="s">
        <v>2</v>
      </c>
      <c r="T6" s="26">
        <v>0</v>
      </c>
      <c r="U6" s="26">
        <f t="shared" si="0"/>
        <v>1.7955190769473826</v>
      </c>
    </row>
    <row r="7" spans="1:21" ht="12.95" customHeight="1">
      <c r="A7" t="s">
        <v>3</v>
      </c>
      <c r="C7">
        <f>+C4</f>
        <v>31235.407999999999</v>
      </c>
      <c r="T7" s="26">
        <v>500</v>
      </c>
      <c r="U7" s="26">
        <f t="shared" si="0"/>
        <v>1.4802588729697963</v>
      </c>
    </row>
    <row r="8" spans="1:21" ht="12.95" customHeight="1">
      <c r="A8" t="s">
        <v>4</v>
      </c>
      <c r="C8">
        <f>+D4</f>
        <v>3.4129459999999998</v>
      </c>
      <c r="T8" s="26">
        <v>1000</v>
      </c>
      <c r="U8" s="26">
        <f t="shared" si="0"/>
        <v>1.1843118968619419</v>
      </c>
    </row>
    <row r="9" spans="1:21" ht="12.95" customHeight="1">
      <c r="A9" s="20" t="s">
        <v>35</v>
      </c>
      <c r="C9" s="36">
        <v>37</v>
      </c>
      <c r="D9" s="20" t="str">
        <f>"F"&amp;C9</f>
        <v>F37</v>
      </c>
      <c r="E9" s="20" t="str">
        <f>"G"&amp;C9</f>
        <v>G37</v>
      </c>
      <c r="T9" s="26">
        <v>1500</v>
      </c>
      <c r="U9" s="26">
        <f t="shared" si="0"/>
        <v>0.90767814862382024</v>
      </c>
    </row>
    <row r="10" spans="1:21" ht="12.95" customHeight="1" thickBot="1">
      <c r="C10" s="6" t="s">
        <v>20</v>
      </c>
      <c r="D10" s="6" t="s">
        <v>21</v>
      </c>
      <c r="T10" s="26">
        <v>2000</v>
      </c>
      <c r="U10" s="26">
        <f t="shared" si="0"/>
        <v>0.65035762825543042</v>
      </c>
    </row>
    <row r="11" spans="1:21" ht="12.95" customHeight="1">
      <c r="A11" t="s">
        <v>16</v>
      </c>
      <c r="C11" s="16">
        <f ca="1">INTERCEPT(INDIRECT(E9):G1004,INDIRECT(D9):$F1004)</f>
        <v>-0.47939659099747028</v>
      </c>
      <c r="D11" s="5">
        <f>+E11*F11</f>
        <v>1.7955190769473826</v>
      </c>
      <c r="E11" s="11">
        <v>1.7955190769473826</v>
      </c>
      <c r="F11">
        <v>1</v>
      </c>
      <c r="T11" s="26">
        <v>2500</v>
      </c>
      <c r="U11" s="26">
        <f t="shared" si="0"/>
        <v>0.4123503357567731</v>
      </c>
    </row>
    <row r="12" spans="1:21" ht="12.95" customHeight="1">
      <c r="A12" t="s">
        <v>17</v>
      </c>
      <c r="C12" s="16">
        <f ca="1">SLOPE(INDIRECT(E9):G1004,INDIRECT(D9):$F1004)</f>
        <v>-5.7244746648845313E-5</v>
      </c>
      <c r="D12" s="5">
        <f>+E12*F12</f>
        <v>-6.4983363582490493E-4</v>
      </c>
      <c r="E12" s="12">
        <v>-6.4983363582490492</v>
      </c>
      <c r="F12">
        <v>1E-4</v>
      </c>
      <c r="T12" s="26">
        <v>3000</v>
      </c>
      <c r="U12" s="26">
        <f t="shared" si="0"/>
        <v>0.19365627112784795</v>
      </c>
    </row>
    <row r="13" spans="1:21" ht="12.95" customHeight="1" thickBot="1">
      <c r="A13" t="s">
        <v>19</v>
      </c>
      <c r="C13" s="5" t="s">
        <v>14</v>
      </c>
      <c r="D13" s="5">
        <f>+E13*F13</f>
        <v>3.8626455739464455E-8</v>
      </c>
      <c r="E13" s="13">
        <v>3.8626455739464456</v>
      </c>
      <c r="F13">
        <v>1E-8</v>
      </c>
      <c r="T13" s="26">
        <v>3500</v>
      </c>
      <c r="U13" s="26">
        <f t="shared" si="0"/>
        <v>-5.7245656313452131E-3</v>
      </c>
    </row>
    <row r="14" spans="1:21" ht="12.95" customHeight="1">
      <c r="A14" t="s">
        <v>24</v>
      </c>
      <c r="E14">
        <f>SUM(R21:R949)</f>
        <v>0.46918068646615407</v>
      </c>
      <c r="T14" s="26">
        <v>4000</v>
      </c>
      <c r="U14" s="26">
        <f t="shared" si="0"/>
        <v>-0.18579217452080599</v>
      </c>
    </row>
    <row r="15" spans="1:21" ht="12.95" customHeight="1">
      <c r="A15" s="4" t="s">
        <v>18</v>
      </c>
      <c r="C15" s="14">
        <f ca="1">(C7+C11)+(C8+C12)*INT(MAX(F21:F3532))</f>
        <v>57500.520463838795</v>
      </c>
      <c r="D15" s="10">
        <f>+C7+INT(MAX(F21:F1587))*C8+D11+D12*INT(MAX(F21:F4022))+D13*INT(MAX(F21:F4049)^2)</f>
        <v>57500.522599204785</v>
      </c>
      <c r="E15" s="33" t="s">
        <v>38</v>
      </c>
      <c r="F15" s="32">
        <v>1</v>
      </c>
      <c r="T15" s="26">
        <v>4500</v>
      </c>
      <c r="U15" s="26">
        <f t="shared" si="0"/>
        <v>-0.34654655554053437</v>
      </c>
    </row>
    <row r="16" spans="1:21" ht="12.95" customHeight="1">
      <c r="A16" s="7" t="s">
        <v>5</v>
      </c>
      <c r="C16" s="15">
        <f ca="1">+C8+C12</f>
        <v>3.4128887552533511</v>
      </c>
      <c r="D16" s="10">
        <f>+C8+D12+2*D13*MAX(F21:F895)</f>
        <v>3.4128907047709167</v>
      </c>
      <c r="E16" s="33" t="s">
        <v>39</v>
      </c>
      <c r="F16" s="34">
        <f ca="1">NOW()+15018.5+$C$5/24</f>
        <v>60324.759314814815</v>
      </c>
      <c r="T16" s="26">
        <v>5000</v>
      </c>
      <c r="U16" s="26">
        <f t="shared" si="0"/>
        <v>-0.48798770869053065</v>
      </c>
    </row>
    <row r="17" spans="1:32" ht="12.95" customHeight="1" thickBot="1">
      <c r="A17" s="16" t="s">
        <v>33</v>
      </c>
      <c r="C17">
        <f>COUNT(C21:C4738)</f>
        <v>26</v>
      </c>
      <c r="E17" s="33" t="s">
        <v>40</v>
      </c>
      <c r="F17" s="34">
        <f ca="1">ROUND(2*(F16-$C$7)/$C$8,0)/2+F15</f>
        <v>8524</v>
      </c>
      <c r="T17" s="26">
        <v>5500</v>
      </c>
      <c r="U17" s="26">
        <f t="shared" ref="U17:U22" si="1">+D$11+D$12*T17+D$13*T17^2</f>
        <v>-0.61011563397079471</v>
      </c>
    </row>
    <row r="18" spans="1:32" ht="12.95" customHeight="1" thickTop="1" thickBot="1">
      <c r="A18" s="7" t="s">
        <v>43</v>
      </c>
      <c r="C18" s="55">
        <f ca="1">+C15</f>
        <v>57500.520463838795</v>
      </c>
      <c r="D18" s="56">
        <f ca="1">C16</f>
        <v>3.4128887552533511</v>
      </c>
      <c r="E18" s="33" t="s">
        <v>41</v>
      </c>
      <c r="F18" s="10">
        <f ca="1">ROUND(2*(F16-$C$15)/$C$16,0)/2+F15</f>
        <v>828.5</v>
      </c>
      <c r="T18" s="26">
        <v>6000</v>
      </c>
      <c r="U18" s="26">
        <f t="shared" si="1"/>
        <v>-0.71293033138132622</v>
      </c>
    </row>
    <row r="19" spans="1:32" ht="12.95" customHeight="1" thickBot="1">
      <c r="A19" s="7" t="s">
        <v>44</v>
      </c>
      <c r="C19" s="21">
        <f>+D15</f>
        <v>57500.522599204785</v>
      </c>
      <c r="D19" s="22">
        <f>+D16</f>
        <v>3.4128907047709167</v>
      </c>
      <c r="E19" s="33" t="s">
        <v>42</v>
      </c>
      <c r="F19" s="35">
        <f ca="1">+$C$15+$C$16*F18-15018.5-$C$5/24</f>
        <v>45309.994630899535</v>
      </c>
      <c r="T19" s="26">
        <v>6500</v>
      </c>
      <c r="U19" s="26">
        <f t="shared" si="1"/>
        <v>-0.79643180092212673</v>
      </c>
    </row>
    <row r="20" spans="1:32" ht="12.9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74</v>
      </c>
      <c r="I20" s="9" t="s">
        <v>77</v>
      </c>
      <c r="J20" s="9" t="s">
        <v>71</v>
      </c>
      <c r="K20" s="9" t="s">
        <v>69</v>
      </c>
      <c r="L20" s="9" t="s">
        <v>26</v>
      </c>
      <c r="M20" s="9" t="s">
        <v>34</v>
      </c>
      <c r="N20" s="9" t="s">
        <v>27</v>
      </c>
      <c r="O20" s="9" t="s">
        <v>23</v>
      </c>
      <c r="P20" s="17" t="s">
        <v>22</v>
      </c>
      <c r="Q20" s="6" t="s">
        <v>15</v>
      </c>
      <c r="T20" s="26">
        <v>7000</v>
      </c>
      <c r="U20" s="26">
        <f t="shared" si="1"/>
        <v>-0.86062004259319402</v>
      </c>
    </row>
    <row r="21" spans="1:32" s="26" customFormat="1" ht="12.95" customHeight="1">
      <c r="A21" s="37" t="s">
        <v>45</v>
      </c>
      <c r="B21" s="38"/>
      <c r="C21" s="88">
        <v>24610.29</v>
      </c>
      <c r="D21" s="39"/>
      <c r="E21" s="26">
        <f t="shared" ref="E21:E44" si="2">+(C21-C$7)/C$8</f>
        <v>-1941.1728166809551</v>
      </c>
      <c r="F21" s="51">
        <f>ROUND(2*E21,0)/2-1</f>
        <v>-1942</v>
      </c>
      <c r="G21" s="26">
        <f t="shared" ref="G21:G44" si="3">+C21-(C$7+F21*C$8)</f>
        <v>2.8231320000013511</v>
      </c>
      <c r="H21" s="26">
        <f t="shared" ref="H21:H33" si="4">G21</f>
        <v>2.8231320000013511</v>
      </c>
      <c r="J21" s="27"/>
      <c r="P21" s="28">
        <f t="shared" ref="P21:P44" si="5">+D$11+D$12*F21+D$13*F21^2</f>
        <v>3.2031704223427573</v>
      </c>
      <c r="Q21" s="29">
        <f t="shared" ref="Q21:Q44" si="6">+C21-15018.5</f>
        <v>9591.7900000000009</v>
      </c>
      <c r="R21" s="26">
        <f t="shared" ref="R21:R26" si="7">+(P21-G21)^2</f>
        <v>0.144429202455745</v>
      </c>
      <c r="T21" s="26">
        <v>7500</v>
      </c>
      <c r="U21" s="26">
        <f t="shared" si="1"/>
        <v>-0.90549505639452921</v>
      </c>
    </row>
    <row r="22" spans="1:32" s="26" customFormat="1" ht="12.95" customHeight="1">
      <c r="A22" s="37" t="s">
        <v>45</v>
      </c>
      <c r="B22" s="38"/>
      <c r="C22" s="88">
        <v>24614.3</v>
      </c>
      <c r="D22" s="41"/>
      <c r="E22" s="26">
        <f t="shared" si="2"/>
        <v>-1939.9978786655283</v>
      </c>
      <c r="F22" s="51">
        <f>ROUND(2*E22,0)/2-1</f>
        <v>-1941</v>
      </c>
      <c r="G22" s="26">
        <f t="shared" si="3"/>
        <v>3.4201859999993758</v>
      </c>
      <c r="H22" s="26">
        <f t="shared" si="4"/>
        <v>3.4201859999993758</v>
      </c>
      <c r="I22" s="27"/>
      <c r="P22" s="28">
        <f t="shared" si="5"/>
        <v>3.2023706021792964</v>
      </c>
      <c r="Q22" s="29">
        <f t="shared" si="6"/>
        <v>9595.7999999999993</v>
      </c>
      <c r="R22" s="26">
        <f t="shared" si="7"/>
        <v>4.7443547527519454E-2</v>
      </c>
      <c r="T22" s="26">
        <v>8000</v>
      </c>
      <c r="U22" s="26">
        <f t="shared" si="1"/>
        <v>-0.93105684232613228</v>
      </c>
    </row>
    <row r="23" spans="1:32" s="26" customFormat="1" ht="12.95" customHeight="1">
      <c r="A23" s="37" t="s">
        <v>45</v>
      </c>
      <c r="B23" s="38"/>
      <c r="C23" s="88">
        <v>24615.48</v>
      </c>
      <c r="D23" s="41"/>
      <c r="E23" s="26">
        <f t="shared" si="2"/>
        <v>-1939.6521363068739</v>
      </c>
      <c r="F23" s="51">
        <f>ROUND(2*E23,0)/2-1</f>
        <v>-1940.5</v>
      </c>
      <c r="G23" s="26">
        <f t="shared" si="3"/>
        <v>2.8937130000012985</v>
      </c>
      <c r="H23" s="26">
        <f t="shared" si="4"/>
        <v>2.8937130000012985</v>
      </c>
      <c r="P23" s="28">
        <f t="shared" si="5"/>
        <v>3.2019707210674078</v>
      </c>
      <c r="Q23" s="29">
        <f t="shared" si="6"/>
        <v>9596.98</v>
      </c>
      <c r="R23" s="26">
        <f t="shared" si="7"/>
        <v>9.5022822596871226E-2</v>
      </c>
      <c r="S23" s="26" t="e">
        <v>#N/A</v>
      </c>
    </row>
    <row r="24" spans="1:32" s="26" customFormat="1" ht="12.95" customHeight="1">
      <c r="A24" s="37" t="s">
        <v>46</v>
      </c>
      <c r="B24" s="38"/>
      <c r="C24" s="88">
        <v>24624.54</v>
      </c>
      <c r="D24" s="41"/>
      <c r="E24" s="26">
        <f t="shared" si="2"/>
        <v>-1936.9975381972054</v>
      </c>
      <c r="F24" s="51">
        <f>ROUND(2*E24,0)/2-1</f>
        <v>-1938</v>
      </c>
      <c r="G24" s="26">
        <f t="shared" si="3"/>
        <v>3.4213479999998526</v>
      </c>
      <c r="H24" s="26">
        <f t="shared" si="4"/>
        <v>3.4213479999998526</v>
      </c>
      <c r="P24" s="28">
        <f t="shared" si="5"/>
        <v>3.1999716052063816</v>
      </c>
      <c r="Q24" s="29">
        <f t="shared" si="6"/>
        <v>9606.0400000000009</v>
      </c>
      <c r="R24" s="26">
        <f t="shared" si="7"/>
        <v>4.9007508171754754E-2</v>
      </c>
      <c r="S24" s="26" t="e">
        <v>#N/A</v>
      </c>
    </row>
    <row r="25" spans="1:32" s="26" customFormat="1" ht="12.95" customHeight="1">
      <c r="A25" s="37" t="s">
        <v>47</v>
      </c>
      <c r="B25" s="38"/>
      <c r="C25" s="88">
        <v>25003.39</v>
      </c>
      <c r="D25" s="41"/>
      <c r="E25" s="26">
        <f t="shared" si="2"/>
        <v>-1825.9937309292325</v>
      </c>
      <c r="F25" s="51">
        <f>ROUND(2*E25,0)/2-1</f>
        <v>-1827</v>
      </c>
      <c r="G25" s="26">
        <f t="shared" si="3"/>
        <v>3.4343420000004699</v>
      </c>
      <c r="H25" s="26">
        <f t="shared" si="4"/>
        <v>3.4343420000004699</v>
      </c>
      <c r="P25" s="28">
        <f t="shared" si="5"/>
        <v>3.1116974963794584</v>
      </c>
      <c r="Q25" s="29">
        <f t="shared" si="6"/>
        <v>9984.89</v>
      </c>
      <c r="R25" s="26">
        <f t="shared" si="7"/>
        <v>0.1040994757168489</v>
      </c>
      <c r="S25" s="26" t="e">
        <v>#N/A</v>
      </c>
      <c r="AB25" s="26">
        <v>12</v>
      </c>
      <c r="AD25" s="26" t="s">
        <v>28</v>
      </c>
      <c r="AF25" s="26" t="s">
        <v>29</v>
      </c>
    </row>
    <row r="26" spans="1:32" s="26" customFormat="1" ht="12.95" customHeight="1">
      <c r="A26" s="81" t="s">
        <v>99</v>
      </c>
      <c r="B26" s="82" t="s">
        <v>49</v>
      </c>
      <c r="C26" s="83">
        <v>31235.395</v>
      </c>
      <c r="D26" s="81" t="s">
        <v>77</v>
      </c>
      <c r="E26" s="26">
        <f t="shared" si="2"/>
        <v>-3.8090259848853367E-3</v>
      </c>
      <c r="F26" s="10">
        <f>ROUND(2*E26,0)/2-0.5</f>
        <v>-0.5</v>
      </c>
      <c r="G26" s="26">
        <f t="shared" si="3"/>
        <v>1.6934729999993579</v>
      </c>
      <c r="H26" s="26">
        <f t="shared" si="4"/>
        <v>1.6934729999993579</v>
      </c>
      <c r="P26" s="28">
        <f t="shared" si="5"/>
        <v>1.795844003421909</v>
      </c>
      <c r="Q26" s="29">
        <f t="shared" si="6"/>
        <v>16216.895</v>
      </c>
      <c r="R26" s="26">
        <f t="shared" si="7"/>
        <v>1.0479822341739973E-2</v>
      </c>
      <c r="S26" s="26" t="e">
        <v>#N/A</v>
      </c>
    </row>
    <row r="27" spans="1:32" s="26" customFormat="1" ht="12.95" customHeight="1">
      <c r="A27" t="s">
        <v>12</v>
      </c>
      <c r="B27" s="5"/>
      <c r="C27" s="84">
        <v>31235.407999999999</v>
      </c>
      <c r="D27" s="41" t="s">
        <v>14</v>
      </c>
      <c r="E27" s="26">
        <f t="shared" si="2"/>
        <v>0</v>
      </c>
      <c r="F27" s="26">
        <f>ROUND(2*E27,0)/2</f>
        <v>0</v>
      </c>
      <c r="G27" s="26">
        <f t="shared" si="3"/>
        <v>0</v>
      </c>
      <c r="H27" s="26">
        <f t="shared" si="4"/>
        <v>0</v>
      </c>
      <c r="P27" s="28">
        <f t="shared" si="5"/>
        <v>1.7955190769473826</v>
      </c>
      <c r="Q27" s="29">
        <f t="shared" si="6"/>
        <v>16216.907999999999</v>
      </c>
      <c r="S27" s="26" t="e">
        <v>#N/A</v>
      </c>
    </row>
    <row r="28" spans="1:32" s="26" customFormat="1" ht="12.95" customHeight="1">
      <c r="A28" t="s">
        <v>47</v>
      </c>
      <c r="B28" s="5"/>
      <c r="C28" s="84">
        <v>31300.244999999999</v>
      </c>
      <c r="D28" s="41"/>
      <c r="E28" s="26">
        <f t="shared" si="2"/>
        <v>18.997370600062098</v>
      </c>
      <c r="F28" s="10">
        <f>ROUND(2*E28,0)/2-0.5</f>
        <v>18.5</v>
      </c>
      <c r="G28" s="26">
        <f t="shared" si="3"/>
        <v>1.6974989999980608</v>
      </c>
      <c r="H28" s="26">
        <f t="shared" si="4"/>
        <v>1.6974989999980608</v>
      </c>
      <c r="P28" s="28">
        <f t="shared" si="5"/>
        <v>1.7835103745890988</v>
      </c>
      <c r="Q28" s="29">
        <f t="shared" si="6"/>
        <v>16281.744999999999</v>
      </c>
      <c r="R28" s="26">
        <f t="shared" ref="R28:R44" si="8">+(P28-G28)^2</f>
        <v>7.3979565590398619E-3</v>
      </c>
      <c r="S28" s="26" t="e">
        <v>#N/A</v>
      </c>
      <c r="AB28" s="26">
        <v>6</v>
      </c>
      <c r="AD28" s="26" t="s">
        <v>28</v>
      </c>
      <c r="AF28" s="26" t="s">
        <v>29</v>
      </c>
    </row>
    <row r="29" spans="1:32" s="26" customFormat="1" ht="12.95" customHeight="1">
      <c r="A29" t="s">
        <v>47</v>
      </c>
      <c r="B29" s="5"/>
      <c r="C29" s="84">
        <v>31590.37</v>
      </c>
      <c r="D29" s="41"/>
      <c r="E29" s="26">
        <f t="shared" si="2"/>
        <v>104.00457551921406</v>
      </c>
      <c r="F29" s="10">
        <f>ROUND(2*E29,0)/2-0.5</f>
        <v>103.5</v>
      </c>
      <c r="G29" s="26">
        <f t="shared" si="3"/>
        <v>1.7220889999989595</v>
      </c>
      <c r="H29" s="26">
        <f t="shared" si="4"/>
        <v>1.7220889999989595</v>
      </c>
      <c r="P29" s="28">
        <f t="shared" si="5"/>
        <v>1.7286750718899999</v>
      </c>
      <c r="Q29" s="29">
        <f t="shared" si="6"/>
        <v>16571.87</v>
      </c>
      <c r="R29" s="26">
        <f t="shared" si="8"/>
        <v>4.3376342953952929E-5</v>
      </c>
      <c r="S29" s="26" t="e">
        <v>#N/A</v>
      </c>
      <c r="AB29" s="26">
        <v>6</v>
      </c>
      <c r="AD29" s="26" t="s">
        <v>28</v>
      </c>
      <c r="AF29" s="26" t="s">
        <v>29</v>
      </c>
    </row>
    <row r="30" spans="1:32" s="26" customFormat="1" ht="12.95" customHeight="1">
      <c r="A30" t="s">
        <v>47</v>
      </c>
      <c r="B30" s="5"/>
      <c r="C30" s="84">
        <v>31607.42</v>
      </c>
      <c r="D30" s="41"/>
      <c r="E30" s="26">
        <f t="shared" si="2"/>
        <v>109.00025959977064</v>
      </c>
      <c r="F30" s="10">
        <f>ROUND(2*E30,0)/2-0.5</f>
        <v>108.5</v>
      </c>
      <c r="G30" s="26">
        <f t="shared" si="3"/>
        <v>1.7073589999999967</v>
      </c>
      <c r="H30" s="26">
        <f t="shared" si="4"/>
        <v>1.7073589999999967</v>
      </c>
      <c r="P30" s="28">
        <f t="shared" si="5"/>
        <v>1.7254668477539594</v>
      </c>
      <c r="Q30" s="29">
        <f t="shared" si="6"/>
        <v>16588.919999999998</v>
      </c>
      <c r="R30" s="26">
        <f t="shared" si="8"/>
        <v>3.2789415028069128E-4</v>
      </c>
      <c r="S30" s="26" t="e">
        <v>#N/A</v>
      </c>
      <c r="AB30" s="26">
        <v>7</v>
      </c>
      <c r="AD30" s="26" t="s">
        <v>28</v>
      </c>
      <c r="AF30" s="26" t="s">
        <v>29</v>
      </c>
    </row>
    <row r="31" spans="1:32" s="26" customFormat="1" ht="12.95" customHeight="1">
      <c r="A31" t="s">
        <v>48</v>
      </c>
      <c r="B31" s="5" t="s">
        <v>49</v>
      </c>
      <c r="C31" s="84">
        <v>51599.807000000001</v>
      </c>
      <c r="D31" s="41"/>
      <c r="E31" s="26">
        <f t="shared" si="2"/>
        <v>5966.8096125751781</v>
      </c>
      <c r="F31" s="26">
        <f t="shared" ref="F31:F36" si="9">ROUND(2*E31,0)/2</f>
        <v>5967</v>
      </c>
      <c r="G31" s="26">
        <f t="shared" si="3"/>
        <v>-0.64978199999313802</v>
      </c>
      <c r="H31" s="26">
        <f t="shared" si="4"/>
        <v>-0.64978199999313802</v>
      </c>
      <c r="O31" s="26">
        <f t="shared" ref="O31:O44" ca="1" si="10">+C$11+C$12*F31</f>
        <v>-0.82097599425113033</v>
      </c>
      <c r="P31" s="28">
        <f t="shared" si="5"/>
        <v>-0.7067398336616324</v>
      </c>
      <c r="Q31" s="29">
        <f t="shared" si="6"/>
        <v>36581.307000000001</v>
      </c>
      <c r="R31" s="26">
        <f t="shared" si="8"/>
        <v>3.2441948162078723E-3</v>
      </c>
      <c r="S31" s="26" t="e">
        <v>#N/A</v>
      </c>
      <c r="AB31" s="26">
        <v>6</v>
      </c>
      <c r="AD31" s="26" t="s">
        <v>28</v>
      </c>
      <c r="AF31" s="26" t="s">
        <v>29</v>
      </c>
    </row>
    <row r="32" spans="1:32" s="26" customFormat="1" ht="12.95" customHeight="1">
      <c r="A32" t="s">
        <v>48</v>
      </c>
      <c r="B32" s="5" t="s">
        <v>50</v>
      </c>
      <c r="C32" s="84">
        <v>51604.932999999997</v>
      </c>
      <c r="D32" s="41"/>
      <c r="E32" s="26">
        <f t="shared" si="2"/>
        <v>5968.3115408213316</v>
      </c>
      <c r="F32" s="26">
        <f t="shared" si="9"/>
        <v>5968.5</v>
      </c>
      <c r="G32" s="26">
        <f t="shared" si="3"/>
        <v>-0.64320100000622915</v>
      </c>
      <c r="H32" s="26">
        <f t="shared" si="4"/>
        <v>-0.64320100000622915</v>
      </c>
      <c r="O32" s="26">
        <f t="shared" ca="1" si="10"/>
        <v>-0.8210618613711036</v>
      </c>
      <c r="P32" s="28">
        <f t="shared" si="5"/>
        <v>-0.70702304502165236</v>
      </c>
      <c r="Q32" s="29">
        <f t="shared" si="6"/>
        <v>36586.432999999997</v>
      </c>
      <c r="R32" s="26">
        <f t="shared" si="8"/>
        <v>4.0732534299507068E-3</v>
      </c>
      <c r="S32" s="26" t="e">
        <v>#N/A</v>
      </c>
      <c r="AB32" s="26">
        <v>10</v>
      </c>
      <c r="AD32" s="26" t="s">
        <v>28</v>
      </c>
      <c r="AF32" s="26" t="s">
        <v>29</v>
      </c>
    </row>
    <row r="33" spans="1:32" s="26" customFormat="1" ht="12.95" customHeight="1">
      <c r="A33" s="58" t="s">
        <v>48</v>
      </c>
      <c r="B33" s="59" t="s">
        <v>49</v>
      </c>
      <c r="C33" s="85">
        <v>51616.852700000003</v>
      </c>
      <c r="D33" s="60"/>
      <c r="E33" s="37">
        <f t="shared" si="2"/>
        <v>5971.8040367471403</v>
      </c>
      <c r="F33" s="26">
        <f t="shared" si="9"/>
        <v>5972</v>
      </c>
      <c r="G33" s="26">
        <f t="shared" si="3"/>
        <v>-0.66881199999625096</v>
      </c>
      <c r="H33" s="26">
        <f t="shared" si="4"/>
        <v>-0.66881199999625096</v>
      </c>
      <c r="O33" s="26">
        <f t="shared" ca="1" si="10"/>
        <v>-0.82126221798437449</v>
      </c>
      <c r="P33" s="28">
        <f t="shared" si="5"/>
        <v>-0.70768319556538928</v>
      </c>
      <c r="Q33" s="29">
        <f t="shared" si="6"/>
        <v>36598.352700000003</v>
      </c>
      <c r="R33" s="26">
        <f t="shared" si="8"/>
        <v>1.5109698449741983E-3</v>
      </c>
      <c r="S33" s="26" t="e">
        <v>#N/A</v>
      </c>
      <c r="AB33" s="26">
        <v>8</v>
      </c>
      <c r="AD33" s="26" t="s">
        <v>31</v>
      </c>
      <c r="AF33" s="26" t="s">
        <v>29</v>
      </c>
    </row>
    <row r="34" spans="1:32" s="26" customFormat="1" ht="12.95" customHeight="1">
      <c r="A34" s="61" t="s">
        <v>51</v>
      </c>
      <c r="B34" s="62" t="s">
        <v>49</v>
      </c>
      <c r="C34" s="63">
        <v>53104.769099999998</v>
      </c>
      <c r="D34" s="63">
        <v>8.9999999999999998E-4</v>
      </c>
      <c r="E34" s="37">
        <f t="shared" si="2"/>
        <v>6407.766516083173</v>
      </c>
      <c r="F34" s="26">
        <f t="shared" si="9"/>
        <v>6408</v>
      </c>
      <c r="G34" s="26">
        <f t="shared" si="3"/>
        <v>-0.79686799999763025</v>
      </c>
      <c r="K34" s="26">
        <f>G34</f>
        <v>-0.79686799999763025</v>
      </c>
      <c r="O34" s="26">
        <f t="shared" ca="1" si="10"/>
        <v>-0.84622092752327105</v>
      </c>
      <c r="P34" s="28">
        <f t="shared" si="5"/>
        <v>-0.78251741316925583</v>
      </c>
      <c r="Q34" s="29">
        <f t="shared" si="6"/>
        <v>38086.269099999998</v>
      </c>
      <c r="R34" s="26">
        <f t="shared" si="8"/>
        <v>2.0593934231871348E-4</v>
      </c>
      <c r="AB34" s="26">
        <v>5</v>
      </c>
      <c r="AD34" s="26" t="s">
        <v>28</v>
      </c>
      <c r="AF34" s="26" t="s">
        <v>29</v>
      </c>
    </row>
    <row r="35" spans="1:32" s="26" customFormat="1" ht="12.95" customHeight="1">
      <c r="A35" s="64" t="s">
        <v>52</v>
      </c>
      <c r="B35" s="59"/>
      <c r="C35" s="85">
        <v>53125.249100000001</v>
      </c>
      <c r="D35" s="60">
        <v>1E-3</v>
      </c>
      <c r="E35" s="37">
        <f t="shared" si="2"/>
        <v>6413.7671970198189</v>
      </c>
      <c r="F35" s="26">
        <f t="shared" si="9"/>
        <v>6414</v>
      </c>
      <c r="G35" s="26">
        <f t="shared" si="3"/>
        <v>-0.79454399999667658</v>
      </c>
      <c r="K35" s="26">
        <f>G35</f>
        <v>-0.79454399999667658</v>
      </c>
      <c r="O35" s="26">
        <f t="shared" ca="1" si="10"/>
        <v>-0.84656439600316413</v>
      </c>
      <c r="P35" s="28">
        <f t="shared" si="5"/>
        <v>-0.78344480449125697</v>
      </c>
      <c r="Q35" s="29">
        <f t="shared" si="6"/>
        <v>38106.749100000001</v>
      </c>
      <c r="R35" s="26">
        <f t="shared" si="8"/>
        <v>1.2319214086752668E-4</v>
      </c>
      <c r="AB35" s="26">
        <v>6</v>
      </c>
      <c r="AD35" s="26" t="s">
        <v>28</v>
      </c>
      <c r="AF35" s="26" t="s">
        <v>29</v>
      </c>
    </row>
    <row r="36" spans="1:32" s="26" customFormat="1" ht="12.95" customHeight="1">
      <c r="A36" s="64" t="s">
        <v>52</v>
      </c>
      <c r="B36" s="59"/>
      <c r="C36" s="86">
        <v>53159.3796</v>
      </c>
      <c r="D36" s="60">
        <v>5.0000000000000001E-4</v>
      </c>
      <c r="E36" s="37">
        <f t="shared" si="2"/>
        <v>6423.7675017418978</v>
      </c>
      <c r="F36" s="26">
        <f t="shared" si="9"/>
        <v>6424</v>
      </c>
      <c r="G36" s="26">
        <f t="shared" si="3"/>
        <v>-0.79350400000112131</v>
      </c>
      <c r="K36" s="26">
        <f>G36</f>
        <v>-0.79350400000112131</v>
      </c>
      <c r="O36" s="26">
        <f t="shared" ca="1" si="10"/>
        <v>-0.84713684346965257</v>
      </c>
      <c r="P36" s="28">
        <f t="shared" si="5"/>
        <v>-0.78498427646167301</v>
      </c>
      <c r="Q36" s="29">
        <f t="shared" si="6"/>
        <v>38140.8796</v>
      </c>
      <c r="R36" s="26">
        <f t="shared" si="8"/>
        <v>7.2585689188629435E-5</v>
      </c>
      <c r="AB36" s="26">
        <v>6</v>
      </c>
      <c r="AD36" s="26" t="s">
        <v>28</v>
      </c>
      <c r="AF36" s="26" t="s">
        <v>29</v>
      </c>
    </row>
    <row r="37" spans="1:32" s="26" customFormat="1" ht="12.95" customHeight="1">
      <c r="A37" s="64" t="s">
        <v>53</v>
      </c>
      <c r="B37" s="65" t="s">
        <v>49</v>
      </c>
      <c r="C37" s="87">
        <v>54633.698499999999</v>
      </c>
      <c r="D37" s="64">
        <v>1E-4</v>
      </c>
      <c r="E37" s="37">
        <f t="shared" si="2"/>
        <v>6855.7458863984375</v>
      </c>
      <c r="F37" s="52">
        <f t="shared" ref="F37:F46" si="11">ROUND(2*E37,0)/2+0.5</f>
        <v>6856</v>
      </c>
      <c r="G37" s="26">
        <f t="shared" si="3"/>
        <v>-0.86727600000449456</v>
      </c>
      <c r="J37" s="26">
        <f>G37</f>
        <v>-0.86727600000449456</v>
      </c>
      <c r="O37" s="26">
        <f t="shared" ca="1" si="10"/>
        <v>-0.87186657402195378</v>
      </c>
      <c r="P37" s="28">
        <f t="shared" si="5"/>
        <v>-0.8441139756189544</v>
      </c>
      <c r="Q37" s="29">
        <f t="shared" si="6"/>
        <v>39615.198499999999</v>
      </c>
      <c r="R37" s="26">
        <f t="shared" si="8"/>
        <v>5.3647937363635696E-4</v>
      </c>
    </row>
    <row r="38" spans="1:32" s="26" customFormat="1" ht="12.95" customHeight="1">
      <c r="A38" s="61" t="s">
        <v>54</v>
      </c>
      <c r="B38" s="59" t="s">
        <v>49</v>
      </c>
      <c r="C38" s="85">
        <v>55599.536899999999</v>
      </c>
      <c r="D38" s="66">
        <v>5.9999999999999995E-4</v>
      </c>
      <c r="E38" s="37">
        <f t="shared" si="2"/>
        <v>7138.7384681738304</v>
      </c>
      <c r="F38" s="52">
        <f t="shared" si="11"/>
        <v>7139</v>
      </c>
      <c r="G38" s="26">
        <f t="shared" si="3"/>
        <v>-0.8925939999971888</v>
      </c>
      <c r="K38" s="26">
        <f>G38</f>
        <v>-0.8925939999971888</v>
      </c>
      <c r="O38" s="26">
        <f t="shared" ca="1" si="10"/>
        <v>-0.88806683732357694</v>
      </c>
      <c r="P38" s="28">
        <f t="shared" si="5"/>
        <v>-0.87503353335251544</v>
      </c>
      <c r="Q38" s="29">
        <f t="shared" si="6"/>
        <v>40581.036899999999</v>
      </c>
      <c r="R38" s="26">
        <f t="shared" si="8"/>
        <v>3.083699887786859E-4</v>
      </c>
      <c r="AB38" s="26">
        <v>6</v>
      </c>
      <c r="AD38" s="26" t="s">
        <v>28</v>
      </c>
      <c r="AF38" s="26" t="s">
        <v>29</v>
      </c>
    </row>
    <row r="39" spans="1:32" s="26" customFormat="1" ht="12.95" customHeight="1">
      <c r="A39" s="61" t="s">
        <v>54</v>
      </c>
      <c r="B39" s="59" t="s">
        <v>49</v>
      </c>
      <c r="C39" s="85">
        <v>55599.541599999997</v>
      </c>
      <c r="D39" s="66">
        <v>5.0000000000000001E-4</v>
      </c>
      <c r="E39" s="37">
        <f t="shared" si="2"/>
        <v>7138.739845283224</v>
      </c>
      <c r="F39" s="52">
        <f t="shared" si="11"/>
        <v>7139</v>
      </c>
      <c r="G39" s="26">
        <f t="shared" si="3"/>
        <v>-0.88789399999950547</v>
      </c>
      <c r="J39" s="27"/>
      <c r="K39" s="26">
        <f>G39</f>
        <v>-0.88789399999950547</v>
      </c>
      <c r="O39" s="26">
        <f t="shared" ca="1" si="10"/>
        <v>-0.88806683732357694</v>
      </c>
      <c r="P39" s="28">
        <f t="shared" si="5"/>
        <v>-0.87503353335251544</v>
      </c>
      <c r="Q39" s="29">
        <f t="shared" si="6"/>
        <v>40581.041599999997</v>
      </c>
      <c r="R39" s="26">
        <f t="shared" si="8"/>
        <v>1.6539160237834304E-4</v>
      </c>
    </row>
    <row r="40" spans="1:32" s="26" customFormat="1" ht="12.95" customHeight="1">
      <c r="A40" s="61" t="s">
        <v>54</v>
      </c>
      <c r="B40" s="59" t="s">
        <v>49</v>
      </c>
      <c r="C40" s="85">
        <v>55599.544099999999</v>
      </c>
      <c r="D40" s="66">
        <v>1.5E-3</v>
      </c>
      <c r="E40" s="37">
        <f t="shared" si="2"/>
        <v>7138.7405777882223</v>
      </c>
      <c r="F40" s="52">
        <f t="shared" si="11"/>
        <v>7139</v>
      </c>
      <c r="G40" s="26">
        <f t="shared" si="3"/>
        <v>-0.88539399999717716</v>
      </c>
      <c r="J40" s="27"/>
      <c r="K40" s="26">
        <f>G40</f>
        <v>-0.88539399999717716</v>
      </c>
      <c r="O40" s="26">
        <f t="shared" ca="1" si="10"/>
        <v>-0.88806683732357694</v>
      </c>
      <c r="P40" s="28">
        <f t="shared" si="5"/>
        <v>-0.87503353335251544</v>
      </c>
      <c r="Q40" s="29">
        <f t="shared" si="6"/>
        <v>40581.044099999999</v>
      </c>
      <c r="R40" s="26">
        <f t="shared" si="8"/>
        <v>1.0733926909514819E-4</v>
      </c>
    </row>
    <row r="41" spans="1:32" s="26" customFormat="1" ht="12.95" customHeight="1">
      <c r="A41" s="64" t="s">
        <v>55</v>
      </c>
      <c r="B41" s="65" t="s">
        <v>49</v>
      </c>
      <c r="C41" s="87">
        <v>55643.911500000002</v>
      </c>
      <c r="D41" s="64">
        <v>5.0000000000000001E-4</v>
      </c>
      <c r="E41" s="37">
        <f t="shared" si="2"/>
        <v>7151.7403146724282</v>
      </c>
      <c r="F41" s="52">
        <f t="shared" si="11"/>
        <v>7152</v>
      </c>
      <c r="G41" s="26">
        <f t="shared" si="3"/>
        <v>-0.88629199999559205</v>
      </c>
      <c r="K41" s="26">
        <f>G41</f>
        <v>-0.88629199999559205</v>
      </c>
      <c r="O41" s="26">
        <f t="shared" ca="1" si="10"/>
        <v>-0.88881101903001203</v>
      </c>
      <c r="P41" s="28">
        <f t="shared" si="5"/>
        <v>-0.87630523179159425</v>
      </c>
      <c r="Q41" s="29">
        <f t="shared" si="6"/>
        <v>40625.411500000002</v>
      </c>
      <c r="R41" s="26">
        <f t="shared" si="8"/>
        <v>9.97355391603814E-5</v>
      </c>
      <c r="AF41" s="26" t="s">
        <v>32</v>
      </c>
    </row>
    <row r="42" spans="1:32" s="26" customFormat="1" ht="12.95" customHeight="1">
      <c r="A42" s="64" t="s">
        <v>56</v>
      </c>
      <c r="B42" s="65" t="s">
        <v>50</v>
      </c>
      <c r="C42" s="87">
        <v>55681.448299999996</v>
      </c>
      <c r="D42" s="64">
        <v>1.15E-2</v>
      </c>
      <c r="E42" s="37">
        <f t="shared" si="2"/>
        <v>7162.7386721032208</v>
      </c>
      <c r="F42" s="52">
        <f t="shared" si="11"/>
        <v>7163</v>
      </c>
      <c r="G42" s="26">
        <f t="shared" si="3"/>
        <v>-0.89189800000167452</v>
      </c>
      <c r="J42" s="26">
        <f>G42</f>
        <v>-0.89189800000167452</v>
      </c>
      <c r="O42" s="26">
        <f t="shared" ca="1" si="10"/>
        <v>-0.88944071124314927</v>
      </c>
      <c r="P42" s="28">
        <f t="shared" si="5"/>
        <v>-0.8773710869326532</v>
      </c>
      <c r="Q42" s="29">
        <f t="shared" si="6"/>
        <v>40662.948299999996</v>
      </c>
      <c r="R42" s="26">
        <f t="shared" si="8"/>
        <v>2.1103120331490238E-4</v>
      </c>
      <c r="AB42" s="26">
        <v>8</v>
      </c>
      <c r="AD42" s="26" t="s">
        <v>28</v>
      </c>
      <c r="AF42" s="26" t="s">
        <v>29</v>
      </c>
    </row>
    <row r="43" spans="1:32" s="26" customFormat="1" ht="12.95" customHeight="1">
      <c r="A43" s="67" t="s">
        <v>65</v>
      </c>
      <c r="B43" s="38" t="s">
        <v>49</v>
      </c>
      <c r="C43" s="88">
        <v>56015.911099999998</v>
      </c>
      <c r="D43" s="67">
        <v>1.1000000000000001E-3</v>
      </c>
      <c r="E43" s="37">
        <f t="shared" si="2"/>
        <v>7260.7369410474121</v>
      </c>
      <c r="F43" s="52">
        <f t="shared" si="11"/>
        <v>7261</v>
      </c>
      <c r="G43" s="26">
        <f t="shared" si="3"/>
        <v>-0.89780600000085542</v>
      </c>
      <c r="K43" s="26">
        <f>G43</f>
        <v>-0.89780600000085542</v>
      </c>
      <c r="O43" s="26">
        <f t="shared" ca="1" si="10"/>
        <v>-0.89505069641473611</v>
      </c>
      <c r="P43" s="28">
        <f t="shared" si="5"/>
        <v>-0.88645427948006317</v>
      </c>
      <c r="Q43" s="29">
        <f t="shared" si="6"/>
        <v>40997.411099999998</v>
      </c>
      <c r="R43" s="26">
        <f t="shared" si="8"/>
        <v>1.2886155878217591E-4</v>
      </c>
      <c r="AF43" s="26" t="s">
        <v>32</v>
      </c>
    </row>
    <row r="44" spans="1:32" s="26" customFormat="1" ht="12.95" customHeight="1">
      <c r="A44" s="66" t="s">
        <v>66</v>
      </c>
      <c r="B44" s="59" t="s">
        <v>49</v>
      </c>
      <c r="C44" s="85">
        <v>56408.390899999999</v>
      </c>
      <c r="D44" s="66">
        <v>8.8999999999999999E-3</v>
      </c>
      <c r="E44" s="37">
        <f t="shared" si="2"/>
        <v>7375.7343069594426</v>
      </c>
      <c r="F44" s="52">
        <f t="shared" si="11"/>
        <v>7376</v>
      </c>
      <c r="G44" s="26">
        <f t="shared" si="3"/>
        <v>-0.90679599999566562</v>
      </c>
      <c r="J44" s="26">
        <f>G44</f>
        <v>-0.90679599999566562</v>
      </c>
      <c r="O44" s="26">
        <f t="shared" ca="1" si="10"/>
        <v>-0.90163384227935328</v>
      </c>
      <c r="P44" s="28">
        <f t="shared" si="5"/>
        <v>-0.89616697284419455</v>
      </c>
      <c r="Q44" s="29">
        <f t="shared" si="6"/>
        <v>41389.890899999999</v>
      </c>
      <c r="R44" s="26">
        <f t="shared" si="8"/>
        <v>1.1297621818670923E-4</v>
      </c>
    </row>
    <row r="45" spans="1:32" s="26" customFormat="1" ht="12.95" customHeight="1">
      <c r="A45" s="89" t="s">
        <v>0</v>
      </c>
      <c r="B45" s="90" t="s">
        <v>49</v>
      </c>
      <c r="C45" s="91">
        <v>57128.5144</v>
      </c>
      <c r="D45" s="91">
        <v>9.1000000000000004E-3</v>
      </c>
      <c r="E45" s="37">
        <f>+(C45-C$7)/C$8</f>
        <v>7586.7319318852396</v>
      </c>
      <c r="F45" s="92">
        <f t="shared" si="11"/>
        <v>7587</v>
      </c>
      <c r="G45" s="26">
        <f>+C45-(C$7+F45*C$8)</f>
        <v>-0.91490199999680044</v>
      </c>
      <c r="K45" s="26">
        <f>G45</f>
        <v>-0.91490199999680044</v>
      </c>
      <c r="O45" s="26">
        <f ca="1">+C$11+C$12*F45</f>
        <v>-0.91371248382225967</v>
      </c>
      <c r="P45" s="28">
        <f>+D$11+D$12*F45+D$13*F45^2</f>
        <v>-0.91133069432780234</v>
      </c>
      <c r="Q45" s="29">
        <f>+C45-15018.5</f>
        <v>42110.0144</v>
      </c>
      <c r="R45" s="26">
        <f>+(P45-G45)^2</f>
        <v>1.2754224181417994E-5</v>
      </c>
    </row>
    <row r="46" spans="1:32" s="26" customFormat="1" ht="12.95" customHeight="1">
      <c r="A46" s="89" t="s">
        <v>0</v>
      </c>
      <c r="B46" s="90" t="s">
        <v>49</v>
      </c>
      <c r="C46" s="91">
        <v>57500.526599999997</v>
      </c>
      <c r="D46" s="91">
        <v>1.1900000000000001E-2</v>
      </c>
      <c r="E46" s="37">
        <f>+(C46-C$7)/C$8</f>
        <v>7695.7322500854098</v>
      </c>
      <c r="F46" s="92">
        <f t="shared" si="11"/>
        <v>7696</v>
      </c>
      <c r="G46" s="26">
        <f>+C46-(C$7+F46*C$8)</f>
        <v>-0.91381600000022445</v>
      </c>
      <c r="K46" s="26">
        <f>G46</f>
        <v>-0.91381600000022445</v>
      </c>
      <c r="O46" s="26">
        <f ca="1">+C$11+C$12*F46</f>
        <v>-0.91995216120698386</v>
      </c>
      <c r="P46" s="28">
        <f>+D$11+D$12*F46+D$13*F46^2</f>
        <v>-0.91781679521849791</v>
      </c>
      <c r="Q46" s="29">
        <f>+C46-15018.5</f>
        <v>42482.026599999997</v>
      </c>
      <c r="R46" s="26">
        <f>+(P46-G46)^2</f>
        <v>1.6006362378559752E-5</v>
      </c>
    </row>
    <row r="47" spans="1:32" s="26" customFormat="1" ht="12.95" customHeight="1">
      <c r="C47" s="25"/>
      <c r="D47" s="25"/>
      <c r="P47" s="28"/>
      <c r="Q47" s="29"/>
    </row>
    <row r="48" spans="1:32" s="26" customFormat="1" ht="12.95" customHeight="1">
      <c r="C48" s="25"/>
      <c r="D48" s="25"/>
      <c r="P48" s="28"/>
      <c r="Q48" s="29"/>
    </row>
    <row r="49" spans="3:17" s="26" customFormat="1" ht="12.95" customHeight="1">
      <c r="C49" s="25"/>
      <c r="D49" s="25"/>
      <c r="P49" s="28"/>
      <c r="Q49" s="29"/>
    </row>
    <row r="50" spans="3:17" s="26" customFormat="1" ht="12.95" customHeight="1">
      <c r="C50" s="25"/>
      <c r="D50" s="25"/>
      <c r="P50" s="28"/>
    </row>
    <row r="51" spans="3:17" s="26" customFormat="1" ht="12.95" customHeight="1">
      <c r="C51" s="25"/>
      <c r="D51" s="25"/>
      <c r="P51" s="28"/>
    </row>
    <row r="52" spans="3:17" s="26" customFormat="1" ht="12.95" customHeight="1">
      <c r="C52" s="25"/>
      <c r="D52" s="25"/>
      <c r="P52" s="28"/>
    </row>
    <row r="53" spans="3:17" s="26" customFormat="1" ht="12.95" customHeight="1">
      <c r="C53" s="25"/>
      <c r="D53" s="25"/>
      <c r="P53" s="28"/>
    </row>
    <row r="54" spans="3:17" s="26" customFormat="1" ht="12.95" customHeight="1">
      <c r="C54" s="25"/>
      <c r="D54" s="25"/>
      <c r="P54" s="28"/>
    </row>
    <row r="55" spans="3:17" s="26" customFormat="1" ht="12.95" customHeight="1">
      <c r="C55" s="25"/>
      <c r="D55" s="25"/>
      <c r="P55" s="28"/>
    </row>
    <row r="56" spans="3:17" s="26" customFormat="1" ht="12.95" customHeight="1">
      <c r="C56" s="25"/>
      <c r="D56" s="25"/>
      <c r="P56" s="28"/>
    </row>
    <row r="57" spans="3:17" s="26" customFormat="1" ht="12.95" customHeight="1">
      <c r="C57" s="25"/>
      <c r="D57" s="25"/>
      <c r="P57" s="28"/>
    </row>
    <row r="58" spans="3:17" s="26" customFormat="1" ht="12.95" customHeight="1">
      <c r="C58" s="25"/>
      <c r="D58" s="25"/>
      <c r="P58" s="28"/>
    </row>
    <row r="59" spans="3:17" s="26" customFormat="1" ht="12.95" customHeight="1">
      <c r="C59" s="25"/>
      <c r="D59" s="25"/>
      <c r="P59" s="28"/>
    </row>
    <row r="60" spans="3:17" s="26" customFormat="1" ht="12.95" customHeight="1">
      <c r="C60" s="25"/>
      <c r="D60" s="25"/>
      <c r="P60" s="28"/>
    </row>
    <row r="61" spans="3:17" s="26" customFormat="1" ht="12.95" customHeight="1">
      <c r="C61" s="25"/>
      <c r="D61" s="25"/>
      <c r="P61" s="28"/>
    </row>
    <row r="62" spans="3:17" s="26" customFormat="1" ht="12.95" customHeight="1">
      <c r="C62" s="25"/>
      <c r="D62" s="25"/>
      <c r="P62" s="28"/>
    </row>
    <row r="63" spans="3:17" s="26" customFormat="1" ht="12.95" customHeight="1">
      <c r="C63" s="25"/>
      <c r="D63" s="25"/>
      <c r="P63" s="28"/>
    </row>
    <row r="64" spans="3:17" s="26" customFormat="1" ht="12.95" customHeight="1">
      <c r="C64" s="25"/>
      <c r="D64" s="25"/>
      <c r="P64" s="28"/>
    </row>
    <row r="65" spans="3:16" s="26" customFormat="1" ht="12.95" customHeight="1">
      <c r="C65" s="25"/>
      <c r="D65" s="25"/>
      <c r="P65" s="28"/>
    </row>
    <row r="66" spans="3:16" s="26" customFormat="1" ht="12.95" customHeight="1">
      <c r="C66" s="25"/>
      <c r="D66" s="25"/>
      <c r="P66" s="28"/>
    </row>
    <row r="67" spans="3:16" s="26" customFormat="1" ht="12.95" customHeight="1">
      <c r="C67" s="25"/>
      <c r="D67" s="25"/>
      <c r="P67" s="28"/>
    </row>
    <row r="68" spans="3:16" s="26" customFormat="1" ht="12.95" customHeight="1">
      <c r="C68" s="25"/>
      <c r="D68" s="25"/>
      <c r="P68" s="28"/>
    </row>
    <row r="69" spans="3:16" s="26" customFormat="1" ht="12.95" customHeight="1">
      <c r="C69" s="25"/>
      <c r="D69" s="25"/>
      <c r="P69" s="28"/>
    </row>
    <row r="70" spans="3:16" s="26" customFormat="1" ht="12.95" customHeight="1">
      <c r="C70" s="25"/>
      <c r="D70" s="25"/>
      <c r="P70" s="28"/>
    </row>
    <row r="71" spans="3:16" s="26" customFormat="1" ht="12.95" customHeight="1">
      <c r="C71" s="25"/>
      <c r="D71" s="25"/>
      <c r="P71" s="28"/>
    </row>
    <row r="72" spans="3:16" s="26" customFormat="1" ht="12.95" customHeight="1">
      <c r="C72" s="25"/>
      <c r="D72" s="25"/>
      <c r="P72" s="28"/>
    </row>
    <row r="73" spans="3:16" s="26" customFormat="1" ht="12.95" customHeight="1">
      <c r="C73" s="25"/>
      <c r="D73" s="25"/>
      <c r="P73" s="28"/>
    </row>
    <row r="74" spans="3:16" s="26" customFormat="1" ht="12.95" customHeight="1">
      <c r="C74" s="25"/>
      <c r="D74" s="25"/>
      <c r="P74" s="28"/>
    </row>
    <row r="75" spans="3:16" s="26" customFormat="1" ht="12.95" customHeight="1">
      <c r="C75" s="25"/>
      <c r="D75" s="25"/>
      <c r="P75" s="28"/>
    </row>
    <row r="76" spans="3:16" s="26" customFormat="1" ht="12.95" customHeight="1">
      <c r="C76" s="25"/>
      <c r="D76" s="25"/>
      <c r="P76" s="28"/>
    </row>
    <row r="77" spans="3:16" s="26" customFormat="1" ht="12.95" customHeight="1">
      <c r="C77" s="25"/>
      <c r="D77" s="25"/>
      <c r="P77" s="28"/>
    </row>
    <row r="78" spans="3:16" s="26" customFormat="1" ht="12.95" customHeight="1">
      <c r="C78" s="25"/>
      <c r="D78" s="25"/>
      <c r="P78" s="28"/>
    </row>
    <row r="79" spans="3:16" s="26" customFormat="1" ht="12.95" customHeight="1">
      <c r="C79" s="25"/>
      <c r="D79" s="25"/>
      <c r="P79" s="28"/>
    </row>
    <row r="80" spans="3:16" s="26" customFormat="1" ht="12.95" customHeight="1">
      <c r="C80" s="25"/>
      <c r="D80" s="25"/>
      <c r="P80" s="28"/>
    </row>
    <row r="81" spans="3:16" s="26" customFormat="1" ht="12.95" customHeight="1">
      <c r="C81" s="25"/>
      <c r="D81" s="25"/>
      <c r="P81" s="28"/>
    </row>
    <row r="82" spans="3:16" s="26" customFormat="1" ht="12.95" customHeight="1">
      <c r="C82" s="25"/>
      <c r="D82" s="25"/>
      <c r="P82" s="28"/>
    </row>
    <row r="83" spans="3:16" s="26" customFormat="1" ht="12.95" customHeight="1">
      <c r="C83" s="25"/>
      <c r="D83" s="25"/>
      <c r="P83" s="28"/>
    </row>
    <row r="84" spans="3:16" s="26" customFormat="1" ht="12.95" customHeight="1">
      <c r="C84" s="25"/>
      <c r="D84" s="25"/>
      <c r="P84" s="28"/>
    </row>
    <row r="85" spans="3:16" s="26" customFormat="1" ht="12.95" customHeight="1">
      <c r="C85" s="25"/>
      <c r="D85" s="25"/>
      <c r="P85" s="28"/>
    </row>
    <row r="86" spans="3:16" s="26" customFormat="1" ht="12.95" customHeight="1">
      <c r="C86" s="25"/>
      <c r="D86" s="25"/>
      <c r="P86" s="28"/>
    </row>
    <row r="87" spans="3:16" s="26" customFormat="1" ht="12.95" customHeight="1">
      <c r="C87" s="25"/>
      <c r="D87" s="25"/>
      <c r="P87" s="28"/>
    </row>
    <row r="88" spans="3:16" s="26" customFormat="1" ht="12.95" customHeight="1">
      <c r="C88" s="25"/>
      <c r="D88" s="25"/>
      <c r="P88" s="28"/>
    </row>
    <row r="89" spans="3:16" s="26" customFormat="1" ht="12.95" customHeight="1">
      <c r="C89" s="25"/>
      <c r="D89" s="25"/>
      <c r="P89" s="28"/>
    </row>
    <row r="90" spans="3:16" s="26" customFormat="1" ht="12.95" customHeight="1">
      <c r="C90" s="25"/>
      <c r="D90" s="25"/>
      <c r="P90" s="28"/>
    </row>
    <row r="91" spans="3:16" s="26" customFormat="1" ht="12.95" customHeight="1">
      <c r="C91" s="25"/>
      <c r="D91" s="25"/>
      <c r="P91" s="28"/>
    </row>
    <row r="92" spans="3:16" s="26" customFormat="1" ht="12.95" customHeight="1">
      <c r="C92" s="25"/>
      <c r="D92" s="25"/>
      <c r="P92" s="28"/>
    </row>
    <row r="93" spans="3:16" s="26" customFormat="1" ht="12.95" customHeight="1">
      <c r="C93" s="25"/>
      <c r="D93" s="25"/>
      <c r="P93" s="28"/>
    </row>
    <row r="94" spans="3:16" s="26" customFormat="1" ht="12.95" customHeight="1">
      <c r="C94" s="25"/>
      <c r="D94" s="25"/>
      <c r="P94" s="28"/>
    </row>
    <row r="95" spans="3:16" s="26" customFormat="1" ht="12.95" customHeight="1">
      <c r="C95" s="25"/>
      <c r="D95" s="25"/>
      <c r="P95" s="28"/>
    </row>
    <row r="96" spans="3:16" s="26" customFormat="1" ht="12.95" customHeight="1">
      <c r="C96" s="25"/>
      <c r="D96" s="25"/>
      <c r="P96" s="28"/>
    </row>
    <row r="97" spans="3:16" s="26" customFormat="1" ht="12.95" customHeight="1">
      <c r="C97" s="25"/>
      <c r="D97" s="25"/>
      <c r="P97" s="28"/>
    </row>
    <row r="98" spans="3:16" s="26" customFormat="1" ht="12.95" customHeight="1">
      <c r="C98" s="25"/>
      <c r="D98" s="25"/>
      <c r="P98" s="28"/>
    </row>
    <row r="99" spans="3:16" s="26" customFormat="1" ht="12.95" customHeight="1">
      <c r="C99" s="25"/>
      <c r="D99" s="25"/>
      <c r="P99" s="28"/>
    </row>
    <row r="100" spans="3:16" s="26" customFormat="1" ht="12.95" customHeight="1">
      <c r="C100" s="25"/>
      <c r="D100" s="25"/>
      <c r="P100" s="28"/>
    </row>
    <row r="101" spans="3:16" s="26" customFormat="1" ht="12.95" customHeight="1">
      <c r="C101" s="25"/>
      <c r="D101" s="25"/>
      <c r="P101" s="28"/>
    </row>
    <row r="102" spans="3:16" s="26" customFormat="1" ht="12.95" customHeight="1">
      <c r="C102" s="25"/>
      <c r="D102" s="25"/>
      <c r="P102" s="28"/>
    </row>
    <row r="103" spans="3:16" s="26" customFormat="1" ht="12.95" customHeight="1">
      <c r="C103" s="25"/>
      <c r="D103" s="25"/>
      <c r="P103" s="28"/>
    </row>
    <row r="104" spans="3:16" s="26" customFormat="1" ht="12.95" customHeight="1">
      <c r="C104" s="25"/>
      <c r="D104" s="25"/>
      <c r="P104" s="28"/>
    </row>
    <row r="105" spans="3:16" s="26" customFormat="1" ht="12.95" customHeight="1">
      <c r="C105" s="25"/>
      <c r="D105" s="25"/>
      <c r="P105" s="28"/>
    </row>
    <row r="106" spans="3:16" s="26" customFormat="1" ht="12.95" customHeight="1">
      <c r="C106" s="25"/>
      <c r="D106" s="25"/>
      <c r="P106" s="28"/>
    </row>
    <row r="107" spans="3:16" s="26" customFormat="1" ht="12.95" customHeight="1">
      <c r="C107" s="25"/>
      <c r="D107" s="25"/>
      <c r="P107" s="28"/>
    </row>
    <row r="108" spans="3:16" s="26" customFormat="1" ht="12.95" customHeight="1">
      <c r="C108" s="25"/>
      <c r="D108" s="25"/>
      <c r="P108" s="28"/>
    </row>
    <row r="109" spans="3:16" s="26" customFormat="1" ht="12.95" customHeight="1">
      <c r="C109" s="25"/>
      <c r="D109" s="25"/>
      <c r="P109" s="28"/>
    </row>
    <row r="110" spans="3:16" s="26" customFormat="1" ht="12.95" customHeight="1">
      <c r="C110" s="25"/>
      <c r="D110" s="25"/>
      <c r="P110" s="28"/>
    </row>
    <row r="111" spans="3:16" s="26" customFormat="1" ht="12.95" customHeight="1">
      <c r="C111" s="25"/>
      <c r="D111" s="25"/>
      <c r="P111" s="28"/>
    </row>
    <row r="112" spans="3:16" s="26" customFormat="1" ht="12.95" customHeight="1">
      <c r="C112" s="25"/>
      <c r="D112" s="25"/>
      <c r="P112" s="28"/>
    </row>
    <row r="113" spans="3:16" s="26" customFormat="1" ht="12.95" customHeight="1">
      <c r="C113" s="25"/>
      <c r="D113" s="25"/>
      <c r="P113" s="28"/>
    </row>
    <row r="114" spans="3:16" s="26" customFormat="1" ht="12.95" customHeight="1">
      <c r="C114" s="25"/>
      <c r="D114" s="25"/>
      <c r="P114" s="28"/>
    </row>
    <row r="115" spans="3:16" s="26" customFormat="1" ht="12.95" customHeight="1">
      <c r="C115" s="25"/>
      <c r="D115" s="25"/>
      <c r="P115" s="28"/>
    </row>
    <row r="116" spans="3:16" s="26" customFormat="1" ht="12.95" customHeight="1">
      <c r="C116" s="25"/>
      <c r="D116" s="25"/>
      <c r="P116" s="28"/>
    </row>
    <row r="117" spans="3:16" s="26" customFormat="1" ht="12.95" customHeight="1">
      <c r="C117" s="25"/>
      <c r="D117" s="25"/>
      <c r="P117" s="28"/>
    </row>
    <row r="118" spans="3:16" s="26" customFormat="1" ht="12.95" customHeight="1">
      <c r="C118" s="25"/>
      <c r="D118" s="25"/>
      <c r="P118" s="28"/>
    </row>
    <row r="119" spans="3:16" s="26" customFormat="1" ht="12.95" customHeight="1">
      <c r="C119" s="25"/>
      <c r="D119" s="25"/>
      <c r="P119" s="28"/>
    </row>
    <row r="120" spans="3:16" s="26" customFormat="1" ht="12.95" customHeight="1">
      <c r="C120" s="25"/>
      <c r="D120" s="25"/>
      <c r="P120" s="28"/>
    </row>
    <row r="121" spans="3:16" s="26" customFormat="1" ht="12.95" customHeight="1">
      <c r="C121" s="25"/>
      <c r="D121" s="25"/>
      <c r="P121" s="28"/>
    </row>
    <row r="122" spans="3:16" s="26" customFormat="1" ht="12.95" customHeight="1">
      <c r="C122" s="25"/>
      <c r="D122" s="25"/>
      <c r="P122" s="28"/>
    </row>
    <row r="123" spans="3:16" s="26" customFormat="1" ht="12.95" customHeight="1">
      <c r="C123" s="25"/>
      <c r="D123" s="25"/>
      <c r="P123" s="28"/>
    </row>
    <row r="124" spans="3:16" s="26" customFormat="1" ht="12.95" customHeight="1">
      <c r="C124" s="25"/>
      <c r="D124" s="25"/>
      <c r="P124" s="28"/>
    </row>
    <row r="125" spans="3:16" s="26" customFormat="1" ht="12.95" customHeight="1">
      <c r="C125" s="25"/>
      <c r="D125" s="25"/>
      <c r="P125" s="28"/>
    </row>
    <row r="126" spans="3:16" s="26" customFormat="1" ht="12.95" customHeight="1">
      <c r="C126" s="25"/>
      <c r="D126" s="25"/>
      <c r="P126" s="28"/>
    </row>
    <row r="127" spans="3:16" s="26" customFormat="1" ht="12.95" customHeight="1">
      <c r="C127" s="25"/>
      <c r="D127" s="25"/>
      <c r="P127" s="28"/>
    </row>
    <row r="128" spans="3:16" s="26" customFormat="1" ht="12.95" customHeight="1">
      <c r="C128" s="25"/>
      <c r="D128" s="25"/>
      <c r="P128" s="28"/>
    </row>
    <row r="129" spans="3:16" s="26" customFormat="1" ht="12.95" customHeight="1">
      <c r="C129" s="25"/>
      <c r="D129" s="25"/>
      <c r="P129" s="28"/>
    </row>
    <row r="130" spans="3:16" s="26" customFormat="1" ht="12.95" customHeight="1">
      <c r="C130" s="25"/>
      <c r="D130" s="25"/>
      <c r="P130" s="28"/>
    </row>
    <row r="131" spans="3:16" s="26" customFormat="1" ht="12.95" customHeight="1">
      <c r="C131" s="25"/>
      <c r="D131" s="25"/>
      <c r="P131" s="28"/>
    </row>
    <row r="132" spans="3:16" s="26" customFormat="1" ht="12.95" customHeight="1">
      <c r="C132" s="25"/>
      <c r="D132" s="25"/>
      <c r="P132" s="28"/>
    </row>
    <row r="133" spans="3:16" s="26" customFormat="1" ht="12.95" customHeight="1">
      <c r="C133" s="25"/>
      <c r="D133" s="25"/>
      <c r="P133" s="28"/>
    </row>
    <row r="134" spans="3:16" s="26" customFormat="1" ht="12.95" customHeight="1">
      <c r="C134" s="25"/>
      <c r="D134" s="25"/>
      <c r="P134" s="28"/>
    </row>
    <row r="135" spans="3:16" s="26" customFormat="1" ht="12.95" customHeight="1">
      <c r="C135" s="25"/>
      <c r="D135" s="25"/>
      <c r="P135" s="28"/>
    </row>
    <row r="136" spans="3:16" ht="12.95" customHeight="1">
      <c r="C136" s="24"/>
      <c r="D136" s="24"/>
      <c r="P136" s="16"/>
    </row>
    <row r="137" spans="3:16" ht="12.95" customHeight="1">
      <c r="C137" s="24"/>
      <c r="D137" s="24"/>
      <c r="P137" s="16"/>
    </row>
    <row r="138" spans="3:16" ht="12.95" customHeight="1">
      <c r="C138" s="24"/>
      <c r="D138" s="24"/>
      <c r="P138" s="16"/>
    </row>
    <row r="139" spans="3:16" ht="12.95" customHeight="1">
      <c r="C139" s="24"/>
      <c r="D139" s="24"/>
      <c r="P139" s="16"/>
    </row>
    <row r="140" spans="3:16" ht="12.95" customHeight="1">
      <c r="C140" s="24"/>
      <c r="D140" s="24"/>
      <c r="P140" s="16"/>
    </row>
    <row r="141" spans="3:16" ht="12.95" customHeight="1">
      <c r="C141" s="24"/>
      <c r="D141" s="24"/>
      <c r="P141" s="16"/>
    </row>
    <row r="142" spans="3:16" ht="12.95" customHeight="1">
      <c r="C142" s="24"/>
      <c r="D142" s="24"/>
      <c r="P142" s="16"/>
    </row>
    <row r="143" spans="3:16" ht="12.95" customHeight="1">
      <c r="C143" s="24"/>
      <c r="D143" s="24"/>
      <c r="P143" s="16"/>
    </row>
    <row r="144" spans="3:16" ht="12.95" customHeight="1">
      <c r="C144" s="24"/>
      <c r="D144" s="24"/>
      <c r="P144" s="16"/>
    </row>
    <row r="145" spans="3:16" ht="12.95" customHeight="1">
      <c r="C145" s="24"/>
      <c r="D145" s="24"/>
      <c r="P145" s="16"/>
    </row>
    <row r="146" spans="3:16" ht="12.95" customHeight="1">
      <c r="C146" s="24"/>
      <c r="D146" s="24"/>
      <c r="P146" s="16"/>
    </row>
    <row r="147" spans="3:16" ht="12.95" customHeight="1">
      <c r="C147" s="24"/>
      <c r="D147" s="24"/>
      <c r="P147" s="16"/>
    </row>
    <row r="148" spans="3:16" ht="12.95" customHeight="1">
      <c r="C148" s="24"/>
      <c r="D148" s="24"/>
      <c r="P148" s="16"/>
    </row>
    <row r="149" spans="3:16" ht="12.95" customHeight="1">
      <c r="C149" s="24"/>
      <c r="D149" s="24"/>
      <c r="P149" s="16"/>
    </row>
    <row r="150" spans="3:16" ht="12.95" customHeight="1">
      <c r="C150" s="24"/>
      <c r="D150" s="24"/>
      <c r="P150" s="16"/>
    </row>
    <row r="151" spans="3:16" ht="12.95" customHeight="1">
      <c r="C151" s="24"/>
      <c r="D151" s="24"/>
      <c r="P151" s="16"/>
    </row>
    <row r="152" spans="3:16" ht="12.95" customHeight="1">
      <c r="C152" s="24"/>
      <c r="D152" s="24"/>
      <c r="P152" s="16"/>
    </row>
    <row r="153" spans="3:16" ht="12.95" customHeight="1">
      <c r="C153" s="24"/>
      <c r="D153" s="24"/>
      <c r="P153" s="16"/>
    </row>
    <row r="154" spans="3:16" ht="12.95" customHeight="1">
      <c r="C154" s="24"/>
      <c r="D154" s="24"/>
      <c r="P154" s="16"/>
    </row>
    <row r="155" spans="3:16" ht="12.95" customHeight="1">
      <c r="C155" s="24"/>
      <c r="D155" s="24"/>
      <c r="P155" s="16"/>
    </row>
    <row r="156" spans="3:16" ht="12.95" customHeight="1">
      <c r="C156" s="24"/>
      <c r="D156" s="24"/>
      <c r="P156" s="16"/>
    </row>
    <row r="157" spans="3:16" ht="12.95" customHeight="1">
      <c r="C157" s="24"/>
      <c r="D157" s="24"/>
      <c r="P157" s="16"/>
    </row>
    <row r="158" spans="3:16" ht="12.95" customHeight="1">
      <c r="C158" s="24"/>
      <c r="D158" s="24"/>
      <c r="P158" s="16"/>
    </row>
    <row r="159" spans="3:16" ht="12.95" customHeight="1">
      <c r="C159" s="24"/>
      <c r="D159" s="24"/>
      <c r="P159" s="16"/>
    </row>
    <row r="160" spans="3:16" ht="12.95" customHeight="1">
      <c r="C160" s="24"/>
      <c r="D160" s="24"/>
      <c r="P160" s="16"/>
    </row>
    <row r="161" spans="3:16" ht="12.95" customHeight="1">
      <c r="C161" s="24"/>
      <c r="D161" s="24"/>
      <c r="P161" s="16"/>
    </row>
    <row r="162" spans="3:16" ht="12.95" customHeight="1">
      <c r="C162" s="24"/>
      <c r="D162" s="24"/>
      <c r="P162" s="16"/>
    </row>
    <row r="163" spans="3:16" ht="12.95" customHeight="1">
      <c r="C163" s="24"/>
      <c r="D163" s="24"/>
      <c r="P163" s="16"/>
    </row>
    <row r="164" spans="3:16" ht="12.95" customHeight="1">
      <c r="C164" s="24"/>
      <c r="D164" s="24"/>
      <c r="P164" s="16"/>
    </row>
    <row r="165" spans="3:16" ht="12.95" customHeight="1">
      <c r="C165" s="24"/>
      <c r="D165" s="24"/>
      <c r="P165" s="16"/>
    </row>
    <row r="166" spans="3:16" ht="12.95" customHeight="1">
      <c r="C166" s="24"/>
      <c r="D166" s="24"/>
      <c r="P166" s="16"/>
    </row>
    <row r="167" spans="3:16" ht="12.95" customHeight="1">
      <c r="C167" s="24"/>
      <c r="D167" s="24"/>
      <c r="P167" s="16"/>
    </row>
    <row r="168" spans="3:16" ht="12.95" customHeight="1">
      <c r="C168" s="24"/>
      <c r="D168" s="24"/>
      <c r="P168" s="16"/>
    </row>
    <row r="169" spans="3:16" ht="12.95" customHeight="1">
      <c r="C169" s="24"/>
      <c r="D169" s="24"/>
      <c r="P169" s="16"/>
    </row>
    <row r="170" spans="3:16" ht="12.95" customHeight="1">
      <c r="C170" s="24"/>
      <c r="D170" s="24"/>
      <c r="P170" s="16"/>
    </row>
    <row r="171" spans="3:16" ht="12.95" customHeight="1">
      <c r="C171" s="24"/>
      <c r="D171" s="24"/>
      <c r="P171" s="16"/>
    </row>
    <row r="172" spans="3:16" ht="12.95" customHeight="1">
      <c r="C172" s="24"/>
      <c r="D172" s="24"/>
      <c r="P172" s="16"/>
    </row>
    <row r="173" spans="3:16" ht="12.95" customHeight="1">
      <c r="C173" s="24"/>
      <c r="D173" s="24"/>
      <c r="P173" s="16"/>
    </row>
    <row r="174" spans="3:16" ht="12.95" customHeight="1">
      <c r="C174" s="24"/>
      <c r="D174" s="24"/>
      <c r="P174" s="16"/>
    </row>
    <row r="175" spans="3:16" ht="12.95" customHeight="1">
      <c r="C175" s="24"/>
      <c r="D175" s="24"/>
      <c r="P175" s="16"/>
    </row>
    <row r="176" spans="3:16" ht="12.95" customHeight="1">
      <c r="C176" s="24"/>
      <c r="D176" s="24"/>
      <c r="P176" s="16"/>
    </row>
    <row r="177" spans="3:16" ht="12.95" customHeight="1">
      <c r="C177" s="24"/>
      <c r="D177" s="24"/>
      <c r="P177" s="16"/>
    </row>
    <row r="178" spans="3:16" ht="12.95" customHeight="1">
      <c r="C178" s="24"/>
      <c r="D178" s="24"/>
      <c r="P178" s="16"/>
    </row>
    <row r="179" spans="3:16" ht="12.95" customHeight="1">
      <c r="C179" s="24"/>
      <c r="D179" s="24"/>
      <c r="P179" s="16"/>
    </row>
    <row r="180" spans="3:16" ht="12.95" customHeight="1">
      <c r="C180" s="24"/>
      <c r="D180" s="24"/>
      <c r="P180" s="16"/>
    </row>
    <row r="181" spans="3:16" ht="12.95" customHeight="1">
      <c r="C181" s="24"/>
      <c r="D181" s="24"/>
      <c r="P181" s="16"/>
    </row>
    <row r="182" spans="3:16" ht="12.95" customHeight="1">
      <c r="C182" s="24"/>
      <c r="D182" s="24"/>
      <c r="P182" s="16"/>
    </row>
    <row r="183" spans="3:16" ht="12.95" customHeight="1">
      <c r="C183" s="24"/>
      <c r="D183" s="24"/>
      <c r="P183" s="16"/>
    </row>
    <row r="184" spans="3:16" ht="12.95" customHeight="1">
      <c r="C184" s="24"/>
      <c r="D184" s="24"/>
      <c r="P184" s="16"/>
    </row>
    <row r="185" spans="3:16" ht="12.95" customHeight="1">
      <c r="C185" s="24"/>
      <c r="D185" s="24"/>
      <c r="P185" s="16"/>
    </row>
    <row r="186" spans="3:16" ht="12.95" customHeight="1">
      <c r="C186" s="24"/>
      <c r="D186" s="24"/>
      <c r="P186" s="16"/>
    </row>
    <row r="187" spans="3:16" ht="12.95" customHeight="1">
      <c r="C187" s="24"/>
      <c r="D187" s="24"/>
      <c r="P187" s="16"/>
    </row>
    <row r="188" spans="3:16" ht="12.95" customHeight="1">
      <c r="C188" s="24"/>
      <c r="D188" s="24"/>
      <c r="P188" s="16"/>
    </row>
    <row r="189" spans="3:16" ht="12.95" customHeight="1">
      <c r="C189" s="24"/>
      <c r="D189" s="24"/>
      <c r="P189" s="16"/>
    </row>
    <row r="190" spans="3:16" ht="12.95" customHeight="1">
      <c r="C190" s="24"/>
      <c r="D190" s="24"/>
      <c r="P190" s="16"/>
    </row>
    <row r="191" spans="3:16" ht="12.95" customHeight="1">
      <c r="C191" s="24"/>
      <c r="D191" s="24"/>
      <c r="P191" s="16"/>
    </row>
    <row r="192" spans="3:16" ht="12.95" customHeight="1">
      <c r="C192" s="24"/>
      <c r="D192" s="24"/>
      <c r="P192" s="16"/>
    </row>
    <row r="193" spans="3:16" ht="12.95" customHeight="1">
      <c r="C193" s="24"/>
      <c r="D193" s="24"/>
      <c r="P193" s="16"/>
    </row>
    <row r="194" spans="3:16" ht="12.95" customHeight="1">
      <c r="C194" s="24"/>
      <c r="D194" s="24"/>
      <c r="P194" s="16"/>
    </row>
    <row r="195" spans="3:16" ht="12.95" customHeight="1">
      <c r="C195" s="24"/>
      <c r="D195" s="24"/>
      <c r="P195" s="16"/>
    </row>
    <row r="196" spans="3:16" ht="12.95" customHeight="1">
      <c r="C196" s="24"/>
      <c r="D196" s="24"/>
      <c r="P196" s="16"/>
    </row>
    <row r="197" spans="3:16" ht="12.95" customHeight="1">
      <c r="C197" s="24"/>
      <c r="D197" s="24"/>
      <c r="P197" s="16"/>
    </row>
    <row r="198" spans="3:16" ht="12.95" customHeight="1">
      <c r="C198" s="24"/>
      <c r="D198" s="24"/>
      <c r="P198" s="16"/>
    </row>
    <row r="199" spans="3:16" ht="12.95" customHeight="1">
      <c r="C199" s="24"/>
      <c r="D199" s="24"/>
      <c r="P199" s="16"/>
    </row>
    <row r="200" spans="3:16" ht="12.95" customHeight="1">
      <c r="C200" s="24"/>
      <c r="D200" s="24"/>
      <c r="P200" s="16"/>
    </row>
    <row r="201" spans="3:16" ht="12.95" customHeight="1">
      <c r="C201" s="24"/>
      <c r="D201" s="24"/>
      <c r="P201" s="16"/>
    </row>
    <row r="202" spans="3:16" ht="12.95" customHeight="1">
      <c r="C202" s="24"/>
      <c r="D202" s="24"/>
      <c r="P202" s="16"/>
    </row>
    <row r="203" spans="3:16" ht="12.95" customHeight="1">
      <c r="C203" s="24"/>
      <c r="D203" s="24"/>
      <c r="P203" s="16"/>
    </row>
    <row r="204" spans="3:16" ht="12.95" customHeight="1">
      <c r="C204" s="24"/>
      <c r="D204" s="24"/>
      <c r="P204" s="16"/>
    </row>
    <row r="205" spans="3:16" ht="12.95" customHeight="1">
      <c r="C205" s="24"/>
      <c r="D205" s="24"/>
      <c r="P205" s="16"/>
    </row>
    <row r="206" spans="3:16" ht="12.95" customHeight="1">
      <c r="C206" s="24"/>
      <c r="D206" s="24"/>
      <c r="P206" s="16"/>
    </row>
    <row r="207" spans="3:16" ht="12.95" customHeight="1">
      <c r="C207" s="24"/>
      <c r="D207" s="24"/>
      <c r="P207" s="16"/>
    </row>
    <row r="208" spans="3:16" ht="12.95" customHeight="1">
      <c r="C208" s="24"/>
      <c r="D208" s="24"/>
      <c r="P208" s="16"/>
    </row>
    <row r="209" spans="3:16" ht="12.95" customHeight="1">
      <c r="C209" s="24"/>
      <c r="D209" s="24"/>
      <c r="P209" s="16"/>
    </row>
    <row r="210" spans="3:16" ht="12.95" customHeight="1">
      <c r="C210" s="24"/>
      <c r="D210" s="24"/>
      <c r="P210" s="16"/>
    </row>
    <row r="211" spans="3:16" ht="12.95" customHeight="1">
      <c r="C211" s="24"/>
      <c r="D211" s="24"/>
      <c r="P211" s="16"/>
    </row>
    <row r="212" spans="3:16" ht="12.95" customHeight="1">
      <c r="C212" s="24"/>
      <c r="D212" s="24"/>
      <c r="P212" s="16"/>
    </row>
    <row r="213" spans="3:16" ht="12.95" customHeight="1">
      <c r="C213" s="24"/>
      <c r="D213" s="24"/>
      <c r="P213" s="16"/>
    </row>
    <row r="214" spans="3:16" ht="12.95" customHeight="1">
      <c r="C214" s="24"/>
      <c r="D214" s="24"/>
      <c r="P214" s="16"/>
    </row>
    <row r="215" spans="3:16" ht="12.95" customHeight="1">
      <c r="C215" s="24"/>
      <c r="D215" s="24"/>
      <c r="P215" s="16"/>
    </row>
    <row r="216" spans="3:16" ht="12.95" customHeight="1">
      <c r="C216" s="24"/>
      <c r="D216" s="24"/>
      <c r="P216" s="16"/>
    </row>
    <row r="217" spans="3:16" ht="12.95" customHeight="1">
      <c r="C217" s="24"/>
      <c r="D217" s="24"/>
      <c r="P217" s="16"/>
    </row>
    <row r="218" spans="3:16" ht="12.95" customHeight="1">
      <c r="C218" s="24"/>
      <c r="D218" s="24"/>
      <c r="P218" s="16"/>
    </row>
    <row r="219" spans="3:16" ht="12.95" customHeight="1">
      <c r="C219" s="24"/>
      <c r="D219" s="24"/>
      <c r="P219" s="16"/>
    </row>
    <row r="220" spans="3:16" ht="12.95" customHeight="1">
      <c r="C220" s="24"/>
      <c r="D220" s="24"/>
      <c r="P220" s="16"/>
    </row>
    <row r="221" spans="3:16" ht="12.95" customHeight="1">
      <c r="C221" s="24"/>
      <c r="D221" s="24"/>
      <c r="P221" s="16"/>
    </row>
    <row r="222" spans="3:16" ht="12.95" customHeight="1">
      <c r="C222" s="24"/>
      <c r="D222" s="24"/>
      <c r="P222" s="16"/>
    </row>
    <row r="223" spans="3:16" ht="12.95" customHeight="1">
      <c r="C223" s="24"/>
      <c r="D223" s="24"/>
      <c r="P223" s="16"/>
    </row>
    <row r="224" spans="3:16" ht="12.95" customHeight="1">
      <c r="C224" s="24"/>
      <c r="D224" s="24"/>
      <c r="P224" s="16"/>
    </row>
    <row r="225" spans="3:16" ht="12.95" customHeight="1">
      <c r="C225" s="24"/>
      <c r="D225" s="24"/>
      <c r="P225" s="16"/>
    </row>
    <row r="226" spans="3:16" ht="12.95" customHeight="1">
      <c r="C226" s="24"/>
      <c r="D226" s="24"/>
      <c r="P226" s="16"/>
    </row>
    <row r="227" spans="3:16" ht="12.95" customHeight="1">
      <c r="C227" s="24"/>
      <c r="D227" s="24"/>
      <c r="P227" s="16"/>
    </row>
    <row r="228" spans="3:16" ht="12.95" customHeight="1">
      <c r="C228" s="24"/>
      <c r="D228" s="24"/>
      <c r="P228" s="16"/>
    </row>
    <row r="229" spans="3:16" ht="12.95" customHeight="1">
      <c r="C229" s="24"/>
      <c r="D229" s="24"/>
      <c r="P229" s="16"/>
    </row>
    <row r="230" spans="3:16" ht="12.95" customHeight="1">
      <c r="C230" s="24"/>
      <c r="D230" s="24"/>
      <c r="P230" s="16"/>
    </row>
    <row r="231" spans="3:16" ht="12.95" customHeight="1">
      <c r="C231" s="24"/>
      <c r="D231" s="24"/>
      <c r="P231" s="16"/>
    </row>
    <row r="232" spans="3:16" ht="12.95" customHeight="1">
      <c r="C232" s="24"/>
      <c r="D232" s="24"/>
      <c r="P232" s="16"/>
    </row>
    <row r="233" spans="3:16" ht="12.95" customHeight="1">
      <c r="C233" s="24"/>
      <c r="D233" s="24"/>
      <c r="P233" s="16"/>
    </row>
    <row r="234" spans="3:16" ht="12.95" customHeight="1">
      <c r="C234" s="24"/>
      <c r="D234" s="24"/>
      <c r="P234" s="16"/>
    </row>
    <row r="235" spans="3:16" ht="12.95" customHeight="1">
      <c r="C235" s="24"/>
      <c r="D235" s="24"/>
      <c r="P235" s="16"/>
    </row>
    <row r="236" spans="3:16" ht="12.95" customHeight="1">
      <c r="C236" s="24"/>
      <c r="D236" s="24"/>
      <c r="P236" s="16"/>
    </row>
    <row r="237" spans="3:16" ht="12.95" customHeight="1">
      <c r="C237" s="24"/>
      <c r="D237" s="24"/>
      <c r="P237" s="16"/>
    </row>
    <row r="238" spans="3:16" ht="12.95" customHeight="1">
      <c r="C238" s="24"/>
      <c r="D238" s="24"/>
      <c r="P238" s="16"/>
    </row>
    <row r="239" spans="3:16" ht="12.95" customHeight="1">
      <c r="C239" s="24"/>
      <c r="D239" s="24"/>
      <c r="P239" s="16"/>
    </row>
    <row r="240" spans="3:16" ht="12.95" customHeight="1">
      <c r="C240" s="24"/>
      <c r="D240" s="24"/>
      <c r="P240" s="16"/>
    </row>
    <row r="241" spans="3:16" ht="12.95" customHeight="1">
      <c r="C241" s="24"/>
      <c r="D241" s="24"/>
      <c r="P241" s="16"/>
    </row>
    <row r="242" spans="3:16" ht="12.95" customHeight="1">
      <c r="C242" s="24"/>
      <c r="D242" s="24"/>
      <c r="P242" s="16"/>
    </row>
    <row r="243" spans="3:16" ht="12.95" customHeight="1">
      <c r="C243" s="24"/>
      <c r="D243" s="24"/>
      <c r="P243" s="16"/>
    </row>
    <row r="244" spans="3:16" ht="12.95" customHeight="1">
      <c r="C244" s="24"/>
      <c r="D244" s="24"/>
      <c r="P244" s="16"/>
    </row>
    <row r="245" spans="3:16" ht="12.95" customHeight="1">
      <c r="C245" s="24"/>
      <c r="D245" s="24"/>
      <c r="P245" s="16"/>
    </row>
    <row r="246" spans="3:16" ht="12.95" customHeight="1">
      <c r="C246" s="24"/>
      <c r="D246" s="24"/>
      <c r="P246" s="16"/>
    </row>
    <row r="247" spans="3:16" ht="12.95" customHeight="1">
      <c r="C247" s="24"/>
      <c r="D247" s="24"/>
      <c r="P247" s="16"/>
    </row>
    <row r="248" spans="3:16" ht="12.95" customHeight="1">
      <c r="C248" s="24"/>
      <c r="D248" s="24"/>
      <c r="P248" s="16"/>
    </row>
    <row r="249" spans="3:16" ht="12.95" customHeight="1">
      <c r="C249" s="24"/>
      <c r="D249" s="24"/>
      <c r="P249" s="16"/>
    </row>
    <row r="250" spans="3:16" ht="12.95" customHeight="1">
      <c r="C250" s="24"/>
      <c r="D250" s="24"/>
      <c r="P250" s="16"/>
    </row>
    <row r="251" spans="3:16" ht="12.95" customHeight="1">
      <c r="C251" s="24"/>
      <c r="D251" s="24"/>
      <c r="P251" s="16"/>
    </row>
    <row r="252" spans="3:16" ht="12.95" customHeight="1">
      <c r="C252" s="24"/>
      <c r="D252" s="24"/>
      <c r="P252" s="16"/>
    </row>
    <row r="253" spans="3:16" ht="12.95" customHeight="1">
      <c r="C253" s="24"/>
      <c r="D253" s="24"/>
      <c r="P253" s="16"/>
    </row>
    <row r="254" spans="3:16" ht="12.95" customHeight="1">
      <c r="C254" s="24"/>
      <c r="D254" s="24"/>
      <c r="P254" s="16"/>
    </row>
    <row r="255" spans="3:16" ht="12.95" customHeight="1">
      <c r="C255" s="24"/>
      <c r="D255" s="24"/>
      <c r="P255" s="16"/>
    </row>
    <row r="256" spans="3:16" ht="12.95" customHeight="1">
      <c r="C256" s="24"/>
      <c r="D256" s="24"/>
      <c r="P256" s="16"/>
    </row>
    <row r="257" spans="3:16" ht="12.95" customHeight="1">
      <c r="C257" s="24"/>
      <c r="D257" s="24"/>
      <c r="P257" s="16"/>
    </row>
    <row r="258" spans="3:16" ht="12.95" customHeight="1">
      <c r="C258" s="24"/>
      <c r="D258" s="24"/>
      <c r="P258" s="16"/>
    </row>
    <row r="259" spans="3:16" ht="12.95" customHeight="1">
      <c r="C259" s="24"/>
      <c r="D259" s="24"/>
      <c r="P259" s="16"/>
    </row>
    <row r="260" spans="3:16" ht="12.95" customHeight="1">
      <c r="C260" s="24"/>
      <c r="D260" s="24"/>
      <c r="P260" s="16"/>
    </row>
    <row r="261" spans="3:16" ht="12.95" customHeight="1">
      <c r="C261" s="24"/>
      <c r="D261" s="24"/>
      <c r="P261" s="16"/>
    </row>
    <row r="262" spans="3:16" ht="12.95" customHeight="1">
      <c r="C262" s="24"/>
      <c r="D262" s="24"/>
      <c r="P262" s="16"/>
    </row>
    <row r="263" spans="3:16" ht="12.95" customHeight="1">
      <c r="C263" s="24"/>
      <c r="D263" s="24"/>
      <c r="P263" s="16"/>
    </row>
    <row r="264" spans="3:16" ht="12.95" customHeight="1">
      <c r="C264" s="24"/>
      <c r="D264" s="24"/>
      <c r="P264" s="16"/>
    </row>
    <row r="265" spans="3:16" ht="12.95" customHeight="1">
      <c r="C265" s="24"/>
      <c r="D265" s="24"/>
      <c r="P265" s="16"/>
    </row>
    <row r="266" spans="3:16" ht="12.95" customHeight="1">
      <c r="C266" s="24"/>
      <c r="D266" s="24"/>
      <c r="P266" s="16"/>
    </row>
    <row r="267" spans="3:16" ht="12.95" customHeight="1">
      <c r="C267" s="24"/>
      <c r="D267" s="24"/>
      <c r="P267" s="16"/>
    </row>
    <row r="268" spans="3:16" ht="12.95" customHeight="1">
      <c r="C268" s="24"/>
      <c r="D268" s="24"/>
      <c r="P268" s="16"/>
    </row>
    <row r="269" spans="3:16" ht="12.95" customHeight="1">
      <c r="P269" s="16"/>
    </row>
    <row r="270" spans="3:16" ht="12.95" customHeight="1">
      <c r="P270" s="16"/>
    </row>
    <row r="271" spans="3:16" ht="12.95" customHeight="1">
      <c r="P271" s="16"/>
    </row>
    <row r="272" spans="3:16" ht="12.95" customHeight="1">
      <c r="P272" s="16"/>
    </row>
    <row r="273" spans="16:16" ht="12.95" customHeight="1">
      <c r="P273" s="16"/>
    </row>
    <row r="274" spans="16:16" ht="12.95" customHeight="1">
      <c r="P274" s="16"/>
    </row>
    <row r="275" spans="16:16" ht="12.95" customHeight="1">
      <c r="P275" s="16"/>
    </row>
    <row r="276" spans="16:16" ht="12.95" customHeight="1">
      <c r="P276" s="16"/>
    </row>
    <row r="277" spans="16:16" ht="12.95" customHeight="1">
      <c r="P277" s="16"/>
    </row>
    <row r="278" spans="16:16" ht="12.95" customHeight="1">
      <c r="P278" s="16"/>
    </row>
    <row r="279" spans="16:16" ht="12.95" customHeight="1">
      <c r="P279" s="16"/>
    </row>
    <row r="280" spans="16:16" ht="12.95" customHeight="1">
      <c r="P280" s="16"/>
    </row>
    <row r="281" spans="16:16" ht="12.95" customHeight="1">
      <c r="P281" s="16"/>
    </row>
    <row r="282" spans="16:16" ht="12.95" customHeight="1">
      <c r="P282" s="16"/>
    </row>
    <row r="283" spans="16:16" ht="12.95" customHeight="1">
      <c r="P283" s="16"/>
    </row>
    <row r="284" spans="16:16" ht="12.95" customHeight="1">
      <c r="P284" s="16"/>
    </row>
    <row r="285" spans="16:16" ht="12.95" customHeight="1">
      <c r="P285" s="16"/>
    </row>
    <row r="286" spans="16:16" ht="12.95" customHeight="1">
      <c r="P286" s="16"/>
    </row>
    <row r="287" spans="16:16" ht="12.95" customHeight="1">
      <c r="P287" s="16"/>
    </row>
    <row r="288" spans="16:16" ht="12.95" customHeight="1">
      <c r="P288" s="16"/>
    </row>
    <row r="289" spans="16:16" ht="12.95" customHeight="1">
      <c r="P289" s="16"/>
    </row>
    <row r="290" spans="16:16" ht="12.95" customHeight="1">
      <c r="P290" s="16"/>
    </row>
    <row r="291" spans="16:16" ht="12.95" customHeight="1">
      <c r="P291" s="16"/>
    </row>
    <row r="292" spans="16:16" ht="12.95" customHeight="1">
      <c r="P292" s="16"/>
    </row>
    <row r="293" spans="16:16" ht="12.95" customHeight="1">
      <c r="P293" s="16"/>
    </row>
    <row r="294" spans="16:16" ht="12.95" customHeight="1">
      <c r="P294" s="16"/>
    </row>
    <row r="295" spans="16:16" ht="12.95" customHeight="1">
      <c r="P295" s="16"/>
    </row>
    <row r="296" spans="16:16" ht="12.95" customHeight="1">
      <c r="P296" s="16"/>
    </row>
    <row r="297" spans="16:16" ht="12.95" customHeight="1">
      <c r="P297" s="16"/>
    </row>
    <row r="298" spans="16:16" ht="12.95" customHeight="1">
      <c r="P298" s="16"/>
    </row>
    <row r="299" spans="16:16" ht="12.95" customHeight="1">
      <c r="P299" s="16"/>
    </row>
    <row r="300" spans="16:16" ht="12.95" customHeight="1">
      <c r="P300" s="16"/>
    </row>
    <row r="301" spans="16:16" ht="12.95" customHeight="1">
      <c r="P301" s="16"/>
    </row>
    <row r="302" spans="16:16" ht="12.95" customHeight="1">
      <c r="P302" s="16"/>
    </row>
    <row r="303" spans="16:16" ht="12.95" customHeight="1">
      <c r="P303" s="16"/>
    </row>
    <row r="304" spans="16:16" ht="12.95" customHeight="1">
      <c r="P304" s="16"/>
    </row>
    <row r="305" spans="16:16" ht="12.95" customHeight="1">
      <c r="P305" s="16"/>
    </row>
    <row r="306" spans="16:16">
      <c r="P306" s="16"/>
    </row>
    <row r="307" spans="16:16">
      <c r="P307" s="16"/>
    </row>
    <row r="308" spans="16:16">
      <c r="P308" s="16"/>
    </row>
    <row r="309" spans="16:16">
      <c r="P309" s="16"/>
    </row>
    <row r="310" spans="16:16">
      <c r="P310" s="16"/>
    </row>
    <row r="311" spans="16:16">
      <c r="P311" s="16"/>
    </row>
  </sheetData>
  <phoneticPr fontId="8" type="noConversion"/>
  <hyperlinks>
    <hyperlink ref="H278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311"/>
  <sheetViews>
    <sheetView workbookViewId="0">
      <selection activeCell="B8" sqref="B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>
      <c r="A1" s="1" t="s">
        <v>58</v>
      </c>
      <c r="B1" s="1"/>
      <c r="R1" s="6" t="s">
        <v>10</v>
      </c>
      <c r="S1" s="8" t="s">
        <v>22</v>
      </c>
      <c r="T1" s="6" t="s">
        <v>10</v>
      </c>
      <c r="U1" s="8" t="s">
        <v>22</v>
      </c>
    </row>
    <row r="2" spans="1:21">
      <c r="A2" t="s">
        <v>25</v>
      </c>
      <c r="B2" t="s">
        <v>59</v>
      </c>
      <c r="R2" s="26">
        <v>5600</v>
      </c>
      <c r="S2" s="26">
        <f>+$D$11+$D$12*$R2+$D$13*$R2^2</f>
        <v>-0.47848855047649597</v>
      </c>
      <c r="T2" s="26">
        <v>-2000</v>
      </c>
      <c r="U2" s="26">
        <f t="shared" ref="U2:U22" si="0">+$D$11+$D$12*$T2+$D$13*$T2^2</f>
        <v>13.437257553735163</v>
      </c>
    </row>
    <row r="3" spans="1:21" ht="13.5" thickBot="1">
      <c r="C3" s="53" t="s">
        <v>63</v>
      </c>
      <c r="R3" s="26">
        <v>5800</v>
      </c>
      <c r="S3" s="26">
        <f t="shared" ref="S3:S22" si="1">+$D$11+$D$12*$R3+$D$13*$R3^2</f>
        <v>-0.57745367674354764</v>
      </c>
      <c r="T3" s="26">
        <v>-1500</v>
      </c>
      <c r="U3" s="26">
        <f t="shared" si="0"/>
        <v>11.913608549974168</v>
      </c>
    </row>
    <row r="4" spans="1:21" ht="14.25" thickTop="1" thickBot="1">
      <c r="A4" s="7" t="s">
        <v>1</v>
      </c>
      <c r="B4" s="7"/>
      <c r="C4" s="2">
        <v>31235.407999999999</v>
      </c>
      <c r="D4" s="3">
        <v>3.4129459999999998</v>
      </c>
      <c r="R4" s="26">
        <v>6000</v>
      </c>
      <c r="S4" s="26">
        <f t="shared" si="1"/>
        <v>-0.66271425333979561</v>
      </c>
      <c r="T4" s="26">
        <v>-1000</v>
      </c>
      <c r="U4" s="26">
        <f t="shared" si="0"/>
        <v>10.475612981655683</v>
      </c>
    </row>
    <row r="5" spans="1:21" ht="13.5" thickTop="1">
      <c r="A5" s="30" t="s">
        <v>36</v>
      </c>
      <c r="B5" s="31"/>
      <c r="C5" s="32">
        <v>8</v>
      </c>
      <c r="D5" s="31" t="s">
        <v>37</v>
      </c>
      <c r="R5" s="26">
        <v>6200</v>
      </c>
      <c r="S5" s="26">
        <f t="shared" si="1"/>
        <v>-0.73427028026524432</v>
      </c>
      <c r="T5" s="26">
        <v>-500</v>
      </c>
      <c r="U5" s="26">
        <f t="shared" si="0"/>
        <v>9.1232708487797058</v>
      </c>
    </row>
    <row r="6" spans="1:21">
      <c r="A6" s="7" t="s">
        <v>2</v>
      </c>
      <c r="R6" s="26">
        <v>6400</v>
      </c>
      <c r="S6" s="26">
        <f t="shared" si="1"/>
        <v>-0.79212175751989289</v>
      </c>
      <c r="T6" s="26">
        <v>0</v>
      </c>
      <c r="U6" s="26">
        <f t="shared" si="0"/>
        <v>7.8565821513462355</v>
      </c>
    </row>
    <row r="7" spans="1:21">
      <c r="A7" t="s">
        <v>3</v>
      </c>
      <c r="C7">
        <f>+C4</f>
        <v>31235.407999999999</v>
      </c>
      <c r="R7" s="26">
        <v>6600</v>
      </c>
      <c r="S7" s="26">
        <f t="shared" si="1"/>
        <v>-0.83626868510373775</v>
      </c>
      <c r="T7" s="26">
        <v>500</v>
      </c>
      <c r="U7" s="26">
        <f t="shared" si="0"/>
        <v>6.6755468893552736</v>
      </c>
    </row>
    <row r="8" spans="1:21">
      <c r="A8" t="s">
        <v>4</v>
      </c>
      <c r="C8">
        <f>+D4</f>
        <v>3.4129459999999998</v>
      </c>
      <c r="R8" s="26">
        <v>6800</v>
      </c>
      <c r="S8" s="26">
        <f t="shared" si="1"/>
        <v>-0.86671106301678158</v>
      </c>
      <c r="T8" s="26">
        <v>1000</v>
      </c>
      <c r="U8" s="26">
        <f t="shared" si="0"/>
        <v>5.5801650628068185</v>
      </c>
    </row>
    <row r="9" spans="1:21">
      <c r="A9" s="20" t="s">
        <v>35</v>
      </c>
      <c r="C9" s="36">
        <v>31</v>
      </c>
      <c r="D9" s="20" t="str">
        <f>"F"&amp;C9</f>
        <v>F31</v>
      </c>
      <c r="E9" s="20" t="str">
        <f>"G"&amp;C9</f>
        <v>G31</v>
      </c>
      <c r="R9" s="26">
        <v>7000</v>
      </c>
      <c r="S9" s="26">
        <f t="shared" si="1"/>
        <v>-0.88344889125902704</v>
      </c>
      <c r="T9" s="26">
        <v>1500</v>
      </c>
      <c r="U9" s="26">
        <f t="shared" si="0"/>
        <v>4.5704366717008726</v>
      </c>
    </row>
    <row r="10" spans="1:21" ht="13.5" thickBot="1">
      <c r="C10" s="6" t="s">
        <v>20</v>
      </c>
      <c r="D10" s="6" t="s">
        <v>21</v>
      </c>
      <c r="R10" s="26">
        <v>7200</v>
      </c>
      <c r="S10" s="26">
        <f t="shared" si="1"/>
        <v>-0.88648216983046879</v>
      </c>
      <c r="T10" s="26">
        <v>2000</v>
      </c>
      <c r="U10" s="26">
        <f t="shared" si="0"/>
        <v>3.6463617160374335</v>
      </c>
    </row>
    <row r="11" spans="1:21">
      <c r="A11" t="s">
        <v>16</v>
      </c>
      <c r="C11" s="16">
        <f ca="1">INTERCEPT(INDIRECT(E9):G1004,INDIRECT(D9):$F1004)</f>
        <v>0.39581309787941077</v>
      </c>
      <c r="D11" s="5">
        <f>+E11*F11</f>
        <v>7.8565821513462355</v>
      </c>
      <c r="E11" s="11">
        <v>7.8565821513462355</v>
      </c>
      <c r="F11">
        <v>1</v>
      </c>
      <c r="R11" s="26">
        <v>7400</v>
      </c>
      <c r="S11" s="26">
        <f t="shared" si="1"/>
        <v>-0.87581089873111218</v>
      </c>
      <c r="T11" s="26">
        <v>2500</v>
      </c>
      <c r="U11" s="26">
        <f t="shared" si="0"/>
        <v>2.8079401958165029</v>
      </c>
    </row>
    <row r="12" spans="1:21">
      <c r="A12" t="s">
        <v>17</v>
      </c>
      <c r="C12" s="16">
        <f ca="1">SLOPE(INDIRECT(E9):G1004,INDIRECT(D9):$F1004)</f>
        <v>-1.8112248916179791E-4</v>
      </c>
      <c r="D12" s="5">
        <f>+E12*F12</f>
        <v>-2.447723959424432E-3</v>
      </c>
      <c r="E12" s="12">
        <v>-24.47723959424432</v>
      </c>
      <c r="F12">
        <v>1E-4</v>
      </c>
      <c r="R12" s="26">
        <v>7600</v>
      </c>
      <c r="S12" s="26">
        <f t="shared" si="1"/>
        <v>-0.85143507796095008</v>
      </c>
      <c r="T12" s="26">
        <v>3000</v>
      </c>
      <c r="U12" s="26">
        <f t="shared" si="0"/>
        <v>2.0551721110380798</v>
      </c>
    </row>
    <row r="13" spans="1:21" ht="13.5" thickBot="1">
      <c r="A13" t="s">
        <v>19</v>
      </c>
      <c r="C13" s="5" t="s">
        <v>14</v>
      </c>
      <c r="D13" s="5">
        <f>+E13*F13</f>
        <v>1.7130687088501556E-7</v>
      </c>
      <c r="E13" s="13">
        <v>17.130687088501556</v>
      </c>
      <c r="F13">
        <v>1E-8</v>
      </c>
      <c r="R13" s="26">
        <v>7800</v>
      </c>
      <c r="S13" s="26">
        <f t="shared" si="1"/>
        <v>-0.81335470751998784</v>
      </c>
      <c r="T13" s="26">
        <v>3500</v>
      </c>
      <c r="U13" s="26">
        <f t="shared" si="0"/>
        <v>1.3880574617021639</v>
      </c>
    </row>
    <row r="14" spans="1:21">
      <c r="A14" t="s">
        <v>24</v>
      </c>
      <c r="E14">
        <f>SUM(R21:R949)</f>
        <v>19000.000465065059</v>
      </c>
      <c r="R14" s="26">
        <v>8000</v>
      </c>
      <c r="S14" s="26">
        <f t="shared" si="1"/>
        <v>-0.76156978740822723</v>
      </c>
      <c r="T14" s="26">
        <v>4000</v>
      </c>
      <c r="U14" s="26">
        <f t="shared" si="0"/>
        <v>0.80659624780875561</v>
      </c>
    </row>
    <row r="15" spans="1:21">
      <c r="A15" s="4" t="s">
        <v>18</v>
      </c>
      <c r="C15" s="14">
        <f ca="1">(C7+C11)+(C8+C12)*INT(MAX(F21:F3532))</f>
        <v>55681.438630708013</v>
      </c>
      <c r="D15" s="10">
        <f>+C7+INT(MAX(F21:F1587))*C8+D11+D12*INT(MAX(F21:F4022))+D13*INT(MAX(F21:F4049)^2)</f>
        <v>55681.453243834963</v>
      </c>
      <c r="E15" s="33" t="s">
        <v>38</v>
      </c>
      <c r="F15" s="32">
        <v>1</v>
      </c>
      <c r="R15" s="26">
        <v>8200</v>
      </c>
      <c r="S15" s="26">
        <f t="shared" si="1"/>
        <v>-0.69608031762566114</v>
      </c>
      <c r="T15" s="26">
        <v>4500</v>
      </c>
      <c r="U15" s="26">
        <f t="shared" si="0"/>
        <v>0.31078846935785709</v>
      </c>
    </row>
    <row r="16" spans="1:21">
      <c r="A16" s="7" t="s">
        <v>5</v>
      </c>
      <c r="C16" s="15">
        <f ca="1">+C8+C12</f>
        <v>3.4127648775108379</v>
      </c>
      <c r="D16" s="10">
        <f>+C8+D12+2*D13*MAX(F21:F895)</f>
        <v>3.4129524182728739</v>
      </c>
      <c r="E16" s="33" t="s">
        <v>39</v>
      </c>
      <c r="F16" s="34">
        <f ca="1">NOW()+15018.5+$C$5/24</f>
        <v>60325.488481481487</v>
      </c>
      <c r="R16" s="26">
        <v>8400</v>
      </c>
      <c r="S16" s="26">
        <f t="shared" si="1"/>
        <v>-0.6168862981722949</v>
      </c>
      <c r="T16" s="26">
        <v>5000</v>
      </c>
      <c r="U16" s="26">
        <f t="shared" si="0"/>
        <v>-9.9365873650535619E-2</v>
      </c>
    </row>
    <row r="17" spans="1:32" ht="13.5" thickBot="1">
      <c r="A17" s="16" t="s">
        <v>33</v>
      </c>
      <c r="C17">
        <f>COUNT(C21:C4738)</f>
        <v>21</v>
      </c>
      <c r="E17" s="33" t="s">
        <v>40</v>
      </c>
      <c r="F17" s="34">
        <f ca="1">ROUND(2*(F16-$C$7)/$C$8,0)/2+F15</f>
        <v>8524.5</v>
      </c>
      <c r="R17" s="26">
        <v>8600</v>
      </c>
      <c r="S17" s="26">
        <f t="shared" si="1"/>
        <v>-0.52398772904813029</v>
      </c>
      <c r="T17" s="26">
        <v>5500</v>
      </c>
      <c r="U17" s="26">
        <f t="shared" si="0"/>
        <v>-0.42386678121642074</v>
      </c>
    </row>
    <row r="18" spans="1:32" ht="14.25" thickTop="1" thickBot="1">
      <c r="A18" s="7" t="s">
        <v>43</v>
      </c>
      <c r="C18" s="18">
        <f ca="1">+C15</f>
        <v>55681.438630708013</v>
      </c>
      <c r="D18" s="19">
        <f ca="1">C16</f>
        <v>3.4127648775108379</v>
      </c>
      <c r="E18" s="33" t="s">
        <v>41</v>
      </c>
      <c r="F18" s="10">
        <f ca="1">ROUND(2*(F16-$C$15)/$C$16,0)/2+F15</f>
        <v>1362</v>
      </c>
      <c r="R18" s="26">
        <v>8800</v>
      </c>
      <c r="S18" s="26">
        <f t="shared" si="1"/>
        <v>-0.41738461025316198</v>
      </c>
      <c r="T18" s="26">
        <v>6000</v>
      </c>
      <c r="U18" s="26">
        <f t="shared" si="0"/>
        <v>-0.66271425333979561</v>
      </c>
    </row>
    <row r="19" spans="1:32" ht="13.5" thickBot="1">
      <c r="A19" s="7" t="s">
        <v>44</v>
      </c>
      <c r="C19" s="21">
        <f>+D15</f>
        <v>55681.453243834963</v>
      </c>
      <c r="D19" s="22">
        <f>+D16</f>
        <v>3.4129524182728739</v>
      </c>
      <c r="E19" s="33" t="s">
        <v>42</v>
      </c>
      <c r="F19" s="35">
        <f ca="1">+$C$15+$C$16*F18-15018.5-$C$5/24</f>
        <v>45310.791060544441</v>
      </c>
      <c r="R19" s="26">
        <v>9000</v>
      </c>
      <c r="S19" s="26">
        <f t="shared" si="1"/>
        <v>-0.29707694178739175</v>
      </c>
      <c r="T19" s="26">
        <v>6500</v>
      </c>
      <c r="U19" s="26">
        <f t="shared" si="0"/>
        <v>-0.81590829002066378</v>
      </c>
    </row>
    <row r="20" spans="1:32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48</v>
      </c>
      <c r="J20" s="9" t="s">
        <v>60</v>
      </c>
      <c r="K20" s="9" t="s">
        <v>61</v>
      </c>
      <c r="L20" s="9" t="s">
        <v>26</v>
      </c>
      <c r="M20" s="9" t="s">
        <v>34</v>
      </c>
      <c r="N20" s="9" t="s">
        <v>27</v>
      </c>
      <c r="O20" s="9" t="s">
        <v>23</v>
      </c>
      <c r="P20" s="17" t="s">
        <v>22</v>
      </c>
      <c r="Q20" s="6" t="s">
        <v>15</v>
      </c>
      <c r="R20" s="26">
        <v>9200</v>
      </c>
      <c r="S20" s="26">
        <f t="shared" si="1"/>
        <v>-0.16306472365082492</v>
      </c>
      <c r="T20" s="26">
        <v>7000</v>
      </c>
      <c r="U20" s="26">
        <f t="shared" si="0"/>
        <v>-0.88344889125902704</v>
      </c>
    </row>
    <row r="21" spans="1:32" s="26" customFormat="1">
      <c r="A21" s="37" t="s">
        <v>45</v>
      </c>
      <c r="B21" s="38"/>
      <c r="C21" s="40">
        <v>24610.29</v>
      </c>
      <c r="D21" s="39"/>
      <c r="E21" s="26">
        <f t="shared" ref="E21:E41" si="2">+(C21-C$7)/C$8</f>
        <v>-1941.1728166809551</v>
      </c>
      <c r="F21" s="51">
        <f>ROUND(2*E21,0)/2-4</f>
        <v>-1945</v>
      </c>
      <c r="G21" s="26">
        <f t="shared" ref="G21:G41" si="3">+C21-(C$7+F21*C$8)</f>
        <v>13.061970000002475</v>
      </c>
      <c r="J21" s="27"/>
      <c r="N21" s="26">
        <f>G21</f>
        <v>13.061970000002475</v>
      </c>
      <c r="P21" s="28">
        <f t="shared" ref="P21:P41" si="4">+D$11+D$12*F21+D$13*F21^2</f>
        <v>13.265463427656542</v>
      </c>
      <c r="Q21" s="29">
        <f t="shared" ref="Q21:Q41" si="5">+C21-15018.5</f>
        <v>9591.7900000000009</v>
      </c>
      <c r="R21" s="26">
        <v>9400</v>
      </c>
      <c r="S21" s="26">
        <f t="shared" si="1"/>
        <v>-1.5347955843450833E-2</v>
      </c>
      <c r="T21" s="26">
        <v>7500</v>
      </c>
      <c r="U21" s="26">
        <f t="shared" si="0"/>
        <v>-0.86533605705487915</v>
      </c>
    </row>
    <row r="22" spans="1:32" s="26" customFormat="1">
      <c r="A22" s="37" t="s">
        <v>45</v>
      </c>
      <c r="B22" s="38"/>
      <c r="C22" s="40">
        <v>24614.3</v>
      </c>
      <c r="D22" s="41"/>
      <c r="E22" s="26">
        <f t="shared" si="2"/>
        <v>-1939.9978786655283</v>
      </c>
      <c r="F22" s="51">
        <f>ROUND(2*E22,0)/2-4</f>
        <v>-1944</v>
      </c>
      <c r="G22" s="26">
        <f t="shared" si="3"/>
        <v>13.6590240000005</v>
      </c>
      <c r="I22" s="27"/>
      <c r="N22" s="26">
        <f>G22</f>
        <v>13.6590240000005</v>
      </c>
      <c r="P22" s="28">
        <f t="shared" si="4"/>
        <v>13.262349491276247</v>
      </c>
      <c r="Q22" s="29">
        <f t="shared" si="5"/>
        <v>9595.7999999999993</v>
      </c>
      <c r="R22" s="26">
        <v>9600</v>
      </c>
      <c r="S22" s="26">
        <f t="shared" si="1"/>
        <v>0.1460733616347234</v>
      </c>
      <c r="T22" s="26">
        <v>8000</v>
      </c>
      <c r="U22" s="26">
        <f t="shared" si="0"/>
        <v>-0.76156978740822723</v>
      </c>
    </row>
    <row r="23" spans="1:32" s="26" customFormat="1">
      <c r="A23" s="37" t="s">
        <v>45</v>
      </c>
      <c r="B23" s="38"/>
      <c r="C23" s="40">
        <v>24615.48</v>
      </c>
      <c r="D23" s="41"/>
      <c r="E23" s="26">
        <f t="shared" si="2"/>
        <v>-1939.6521363068739</v>
      </c>
      <c r="F23" s="51">
        <f>ROUND(2*E23,0)/2-4</f>
        <v>-1943.5</v>
      </c>
      <c r="G23" s="26">
        <f t="shared" si="3"/>
        <v>13.132550999998784</v>
      </c>
      <c r="N23" s="26">
        <f>G23</f>
        <v>13.132550999998784</v>
      </c>
      <c r="P23" s="28">
        <f t="shared" si="4"/>
        <v>13.26079265156625</v>
      </c>
      <c r="Q23" s="29">
        <f t="shared" si="5"/>
        <v>9596.98</v>
      </c>
    </row>
    <row r="24" spans="1:32" s="26" customFormat="1">
      <c r="A24" s="37" t="s">
        <v>46</v>
      </c>
      <c r="B24" s="38"/>
      <c r="C24" s="40">
        <v>24624.54</v>
      </c>
      <c r="D24" s="41"/>
      <c r="E24" s="26">
        <f t="shared" si="2"/>
        <v>-1936.9975381972054</v>
      </c>
      <c r="F24" s="51">
        <f>ROUND(2*E24,0)/2-4</f>
        <v>-1941</v>
      </c>
      <c r="G24" s="26">
        <f t="shared" si="3"/>
        <v>13.660186000000976</v>
      </c>
      <c r="N24" s="26">
        <f>G24</f>
        <v>13.660186000000976</v>
      </c>
      <c r="P24" s="28">
        <f t="shared" si="4"/>
        <v>13.253009737817806</v>
      </c>
      <c r="Q24" s="29">
        <f t="shared" si="5"/>
        <v>9606.0400000000009</v>
      </c>
    </row>
    <row r="25" spans="1:32" s="26" customFormat="1">
      <c r="A25" s="37" t="s">
        <v>47</v>
      </c>
      <c r="B25" s="38"/>
      <c r="C25" s="40">
        <v>25003.39</v>
      </c>
      <c r="D25" s="41"/>
      <c r="E25" s="26">
        <f t="shared" si="2"/>
        <v>-1825.9937309292325</v>
      </c>
      <c r="F25" s="51">
        <f>ROUND(2*E25,0)/2-4</f>
        <v>-1830</v>
      </c>
      <c r="G25" s="26">
        <f t="shared" si="3"/>
        <v>13.673179999997956</v>
      </c>
      <c r="N25" s="26">
        <f>G25</f>
        <v>13.673179999997956</v>
      </c>
      <c r="P25" s="28">
        <f t="shared" si="4"/>
        <v>12.909606576999774</v>
      </c>
      <c r="Q25" s="29">
        <f t="shared" si="5"/>
        <v>9984.89</v>
      </c>
      <c r="AB25" s="26">
        <v>12</v>
      </c>
      <c r="AD25" s="26" t="s">
        <v>28</v>
      </c>
      <c r="AF25" s="26" t="s">
        <v>29</v>
      </c>
    </row>
    <row r="26" spans="1:32" s="26" customFormat="1">
      <c r="A26" t="s">
        <v>12</v>
      </c>
      <c r="B26" s="5"/>
      <c r="C26" s="41">
        <v>31235.407999999999</v>
      </c>
      <c r="D26" s="41" t="s">
        <v>14</v>
      </c>
      <c r="E26" s="26">
        <f t="shared" si="2"/>
        <v>0</v>
      </c>
      <c r="F26" s="54">
        <f>ROUND(2*E26,0)/2-2.5</f>
        <v>-2.5</v>
      </c>
      <c r="G26" s="26">
        <f t="shared" si="3"/>
        <v>8.5323649999991176</v>
      </c>
      <c r="H26" s="26">
        <f>G26</f>
        <v>8.5323649999991176</v>
      </c>
      <c r="P26" s="28">
        <f t="shared" si="4"/>
        <v>7.8627025319127393</v>
      </c>
      <c r="Q26" s="29">
        <f t="shared" si="5"/>
        <v>16216.907999999999</v>
      </c>
      <c r="AA26" s="26" t="s">
        <v>30</v>
      </c>
      <c r="AB26" s="26">
        <v>6</v>
      </c>
      <c r="AD26" s="26" t="s">
        <v>28</v>
      </c>
      <c r="AF26" s="26" t="s">
        <v>29</v>
      </c>
    </row>
    <row r="27" spans="1:32" s="26" customFormat="1">
      <c r="A27" t="s">
        <v>47</v>
      </c>
      <c r="B27" s="5"/>
      <c r="C27" s="41">
        <v>31300.244999999999</v>
      </c>
      <c r="D27" s="41"/>
      <c r="E27" s="26">
        <f t="shared" si="2"/>
        <v>18.997370600062098</v>
      </c>
      <c r="F27" s="54">
        <f>ROUND(2*E27,0)/2-2.5</f>
        <v>16.5</v>
      </c>
      <c r="G27" s="26">
        <f t="shared" si="3"/>
        <v>8.52339099999881</v>
      </c>
      <c r="N27" s="26">
        <f>G27</f>
        <v>8.52339099999881</v>
      </c>
      <c r="P27" s="28">
        <f t="shared" si="4"/>
        <v>7.8162413443113312</v>
      </c>
      <c r="Q27" s="29">
        <f t="shared" si="5"/>
        <v>16281.744999999999</v>
      </c>
    </row>
    <row r="28" spans="1:32" s="26" customFormat="1">
      <c r="A28" t="s">
        <v>47</v>
      </c>
      <c r="B28" s="5"/>
      <c r="C28" s="41">
        <v>31590.37</v>
      </c>
      <c r="D28" s="41"/>
      <c r="E28" s="26">
        <f t="shared" si="2"/>
        <v>104.00457551921406</v>
      </c>
      <c r="F28" s="54">
        <f>ROUND(2*E28,0)/2-2.5</f>
        <v>101.5</v>
      </c>
      <c r="G28" s="26">
        <f t="shared" si="3"/>
        <v>8.5479809999997087</v>
      </c>
      <c r="N28" s="26">
        <f>G28</f>
        <v>8.5479809999997087</v>
      </c>
      <c r="P28" s="28">
        <f t="shared" si="4"/>
        <v>7.609903015675231</v>
      </c>
      <c r="Q28" s="29">
        <f t="shared" si="5"/>
        <v>16571.87</v>
      </c>
      <c r="AA28" s="26" t="s">
        <v>30</v>
      </c>
      <c r="AB28" s="26">
        <v>6</v>
      </c>
      <c r="AD28" s="26" t="s">
        <v>28</v>
      </c>
      <c r="AF28" s="26" t="s">
        <v>29</v>
      </c>
    </row>
    <row r="29" spans="1:32" s="26" customFormat="1">
      <c r="A29" t="s">
        <v>47</v>
      </c>
      <c r="B29" s="5"/>
      <c r="C29" s="41">
        <v>31607.42</v>
      </c>
      <c r="D29" s="41"/>
      <c r="E29" s="26">
        <f t="shared" si="2"/>
        <v>109.00025959977064</v>
      </c>
      <c r="F29" s="54">
        <f>ROUND(2*E29,0)/2-2.5</f>
        <v>106.5</v>
      </c>
      <c r="G29" s="26">
        <f t="shared" si="3"/>
        <v>8.533250999997108</v>
      </c>
      <c r="N29" s="26">
        <f>G29</f>
        <v>8.533250999997108</v>
      </c>
      <c r="P29" s="28">
        <f t="shared" si="4"/>
        <v>7.5978425550238295</v>
      </c>
      <c r="Q29" s="29">
        <f t="shared" si="5"/>
        <v>16588.919999999998</v>
      </c>
    </row>
    <row r="30" spans="1:32" s="26" customFormat="1">
      <c r="A30" t="s">
        <v>48</v>
      </c>
      <c r="B30" s="5" t="s">
        <v>49</v>
      </c>
      <c r="C30" s="41">
        <v>51599.807000000001</v>
      </c>
      <c r="D30" s="41"/>
      <c r="E30" s="26">
        <f t="shared" si="2"/>
        <v>5966.8096125751781</v>
      </c>
      <c r="F30" s="26">
        <f t="shared" ref="F30:F35" si="6">ROUND(2*E30,0)/2</f>
        <v>5967</v>
      </c>
      <c r="G30" s="26">
        <f t="shared" si="3"/>
        <v>-0.64978199999313802</v>
      </c>
      <c r="I30" s="26">
        <f>G30</f>
        <v>-0.64978199999313802</v>
      </c>
      <c r="O30" s="26">
        <f t="shared" ref="O30:O41" ca="1" si="7">+C$11+C$12*F30</f>
        <v>-0.68494479494903726</v>
      </c>
      <c r="P30" s="28">
        <f t="shared" si="4"/>
        <v>-0.64959033036686176</v>
      </c>
      <c r="Q30" s="29">
        <f t="shared" si="5"/>
        <v>36581.307000000001</v>
      </c>
      <c r="R30" s="26">
        <f t="shared" ref="R30:R41" si="8">+(P30-G30)^2</f>
        <v>3.6737245636880601E-8</v>
      </c>
      <c r="AA30" s="26" t="s">
        <v>30</v>
      </c>
      <c r="AB30" s="26">
        <v>7</v>
      </c>
      <c r="AD30" s="26" t="s">
        <v>28</v>
      </c>
      <c r="AF30" s="26" t="s">
        <v>29</v>
      </c>
    </row>
    <row r="31" spans="1:32" s="26" customFormat="1">
      <c r="A31" t="s">
        <v>48</v>
      </c>
      <c r="B31" s="5" t="s">
        <v>50</v>
      </c>
      <c r="C31" s="41">
        <v>51604.932999999997</v>
      </c>
      <c r="D31" s="41"/>
      <c r="E31" s="26">
        <f t="shared" si="2"/>
        <v>5968.3115408213316</v>
      </c>
      <c r="F31" s="26">
        <f t="shared" si="6"/>
        <v>5968.5</v>
      </c>
      <c r="G31" s="26">
        <f t="shared" si="3"/>
        <v>-0.64320100000622915</v>
      </c>
      <c r="I31" s="26">
        <f>G31</f>
        <v>-0.64320100000622915</v>
      </c>
      <c r="O31" s="26">
        <f t="shared" ca="1" si="7"/>
        <v>-0.68521647868278013</v>
      </c>
      <c r="P31" s="28">
        <f t="shared" si="4"/>
        <v>-0.65019496656982767</v>
      </c>
      <c r="Q31" s="29">
        <f t="shared" si="5"/>
        <v>36586.432999999997</v>
      </c>
      <c r="R31" s="26">
        <f t="shared" si="8"/>
        <v>4.8915568292734081E-5</v>
      </c>
      <c r="AA31" s="26" t="s">
        <v>30</v>
      </c>
      <c r="AB31" s="26">
        <v>6</v>
      </c>
      <c r="AD31" s="26" t="s">
        <v>28</v>
      </c>
      <c r="AF31" s="26" t="s">
        <v>29</v>
      </c>
    </row>
    <row r="32" spans="1:32" s="26" customFormat="1">
      <c r="A32" t="s">
        <v>48</v>
      </c>
      <c r="B32" s="5" t="s">
        <v>49</v>
      </c>
      <c r="C32" s="41">
        <v>51616.852700000003</v>
      </c>
      <c r="D32" s="41"/>
      <c r="E32" s="26">
        <f t="shared" si="2"/>
        <v>5971.8040367471403</v>
      </c>
      <c r="F32" s="26">
        <f t="shared" si="6"/>
        <v>5972</v>
      </c>
      <c r="G32" s="26">
        <f t="shared" si="3"/>
        <v>-0.66881199999625096</v>
      </c>
      <c r="I32" s="26">
        <f>G32</f>
        <v>-0.66881199999625096</v>
      </c>
      <c r="O32" s="26">
        <f t="shared" ca="1" si="7"/>
        <v>-0.68585040739484637</v>
      </c>
      <c r="P32" s="28">
        <f t="shared" si="4"/>
        <v>-0.65160278650650305</v>
      </c>
      <c r="Q32" s="29">
        <f t="shared" si="5"/>
        <v>36598.352700000003</v>
      </c>
      <c r="R32" s="26">
        <f t="shared" si="8"/>
        <v>2.9615702893572146E-4</v>
      </c>
      <c r="AA32" s="26" t="s">
        <v>30</v>
      </c>
      <c r="AB32" s="26">
        <v>10</v>
      </c>
      <c r="AD32" s="26" t="s">
        <v>28</v>
      </c>
      <c r="AF32" s="26" t="s">
        <v>29</v>
      </c>
    </row>
    <row r="33" spans="1:32" s="26" customFormat="1">
      <c r="A33" s="31" t="s">
        <v>51</v>
      </c>
      <c r="B33" s="42" t="s">
        <v>49</v>
      </c>
      <c r="C33" s="43">
        <v>53104.769099999998</v>
      </c>
      <c r="D33" s="44">
        <v>8.9999999999999998E-4</v>
      </c>
      <c r="E33" s="26">
        <f t="shared" si="2"/>
        <v>6407.766516083173</v>
      </c>
      <c r="F33" s="26">
        <f t="shared" si="6"/>
        <v>6408</v>
      </c>
      <c r="G33" s="26">
        <f t="shared" si="3"/>
        <v>-0.79686799999763025</v>
      </c>
      <c r="J33" s="26">
        <f>G33</f>
        <v>-0.79686799999763025</v>
      </c>
      <c r="O33" s="26">
        <f t="shared" ca="1" si="7"/>
        <v>-0.76481981266939014</v>
      </c>
      <c r="P33" s="28">
        <f t="shared" si="4"/>
        <v>-0.79415076197692436</v>
      </c>
      <c r="Q33" s="29">
        <f t="shared" si="5"/>
        <v>38086.269099999998</v>
      </c>
      <c r="R33" s="26">
        <f t="shared" si="8"/>
        <v>7.3833824611696744E-6</v>
      </c>
      <c r="AA33" s="26" t="s">
        <v>30</v>
      </c>
      <c r="AB33" s="26">
        <v>8</v>
      </c>
      <c r="AD33" s="26" t="s">
        <v>31</v>
      </c>
      <c r="AF33" s="26" t="s">
        <v>29</v>
      </c>
    </row>
    <row r="34" spans="1:32" s="26" customFormat="1">
      <c r="A34" s="23" t="s">
        <v>52</v>
      </c>
      <c r="B34" s="5"/>
      <c r="C34" s="41">
        <v>53125.249100000001</v>
      </c>
      <c r="D34" s="41">
        <v>1E-3</v>
      </c>
      <c r="E34" s="26">
        <f t="shared" si="2"/>
        <v>6413.7671970198189</v>
      </c>
      <c r="F34" s="26">
        <f t="shared" si="6"/>
        <v>6414</v>
      </c>
      <c r="G34" s="26">
        <f t="shared" si="3"/>
        <v>-0.79454399999667658</v>
      </c>
      <c r="J34" s="26">
        <f>G34</f>
        <v>-0.79454399999667658</v>
      </c>
      <c r="O34" s="26">
        <f t="shared" ca="1" si="7"/>
        <v>-0.76590654760436094</v>
      </c>
      <c r="P34" s="28">
        <f t="shared" si="4"/>
        <v>-0.79565812554254656</v>
      </c>
      <c r="Q34" s="29">
        <f t="shared" si="5"/>
        <v>38106.749100000001</v>
      </c>
      <c r="R34" s="26">
        <f t="shared" si="8"/>
        <v>1.2412757319600848E-6</v>
      </c>
      <c r="AA34" s="26" t="s">
        <v>30</v>
      </c>
      <c r="AB34" s="26">
        <v>5</v>
      </c>
      <c r="AD34" s="26" t="s">
        <v>28</v>
      </c>
      <c r="AF34" s="26" t="s">
        <v>29</v>
      </c>
    </row>
    <row r="35" spans="1:32" s="26" customFormat="1">
      <c r="A35" s="23" t="s">
        <v>52</v>
      </c>
      <c r="B35" s="5"/>
      <c r="C35" s="45">
        <v>53159.3796</v>
      </c>
      <c r="D35" s="41">
        <v>5.0000000000000001E-4</v>
      </c>
      <c r="E35" s="26">
        <f t="shared" si="2"/>
        <v>6423.7675017418978</v>
      </c>
      <c r="F35" s="26">
        <f t="shared" si="6"/>
        <v>6424</v>
      </c>
      <c r="G35" s="26">
        <f t="shared" si="3"/>
        <v>-0.79350400000112131</v>
      </c>
      <c r="J35" s="26">
        <f>G35</f>
        <v>-0.79350400000112131</v>
      </c>
      <c r="O35" s="26">
        <f t="shared" ca="1" si="7"/>
        <v>-0.76771777249597895</v>
      </c>
      <c r="P35" s="28">
        <f t="shared" si="4"/>
        <v>-0.79814298905257175</v>
      </c>
      <c r="Q35" s="29">
        <f t="shared" si="5"/>
        <v>38140.8796</v>
      </c>
      <c r="R35" s="26">
        <f t="shared" si="8"/>
        <v>2.1520219419477027E-5</v>
      </c>
      <c r="AA35" s="26" t="s">
        <v>30</v>
      </c>
      <c r="AB35" s="26">
        <v>6</v>
      </c>
      <c r="AD35" s="26" t="s">
        <v>28</v>
      </c>
      <c r="AF35" s="26" t="s">
        <v>29</v>
      </c>
    </row>
    <row r="36" spans="1:32" s="26" customFormat="1">
      <c r="A36" s="46" t="s">
        <v>53</v>
      </c>
      <c r="B36" s="47" t="s">
        <v>49</v>
      </c>
      <c r="C36" s="46">
        <v>54633.698499999999</v>
      </c>
      <c r="D36" s="46">
        <v>1E-4</v>
      </c>
      <c r="E36" s="26">
        <f t="shared" si="2"/>
        <v>6855.7458863984375</v>
      </c>
      <c r="F36" s="52">
        <f t="shared" ref="F36:F41" si="9">ROUND(2*E36,0)/2+0.5</f>
        <v>6856</v>
      </c>
      <c r="G36" s="26">
        <f t="shared" si="3"/>
        <v>-0.86727600000449456</v>
      </c>
      <c r="J36" s="26">
        <f>G36</f>
        <v>-0.86727600000449456</v>
      </c>
      <c r="O36" s="26">
        <f t="shared" ca="1" si="7"/>
        <v>-0.84596268781387574</v>
      </c>
      <c r="P36" s="28">
        <f t="shared" si="4"/>
        <v>-0.87277907353142581</v>
      </c>
      <c r="Q36" s="29">
        <f t="shared" si="5"/>
        <v>39615.198499999999</v>
      </c>
      <c r="R36" s="26">
        <f t="shared" si="8"/>
        <v>3.02838182428115E-5</v>
      </c>
      <c r="AA36" s="26" t="s">
        <v>30</v>
      </c>
      <c r="AB36" s="26">
        <v>6</v>
      </c>
      <c r="AD36" s="26" t="s">
        <v>28</v>
      </c>
      <c r="AF36" s="26" t="s">
        <v>29</v>
      </c>
    </row>
    <row r="37" spans="1:32" s="26" customFormat="1">
      <c r="A37" s="48" t="s">
        <v>54</v>
      </c>
      <c r="B37" s="49" t="s">
        <v>49</v>
      </c>
      <c r="C37" s="50">
        <v>55599.536899999999</v>
      </c>
      <c r="D37" s="50">
        <v>5.9999999999999995E-4</v>
      </c>
      <c r="E37" s="26">
        <f t="shared" si="2"/>
        <v>7138.7384681738304</v>
      </c>
      <c r="F37" s="52">
        <f t="shared" si="9"/>
        <v>7139</v>
      </c>
      <c r="G37" s="26">
        <f t="shared" si="3"/>
        <v>-0.8925939999971888</v>
      </c>
      <c r="K37" s="26">
        <f>G37</f>
        <v>-0.8925939999971888</v>
      </c>
      <c r="O37" s="26">
        <f t="shared" ca="1" si="7"/>
        <v>-0.89722035224666441</v>
      </c>
      <c r="P37" s="28">
        <f t="shared" si="4"/>
        <v>-0.88700953082441458</v>
      </c>
      <c r="Q37" s="29">
        <f t="shared" si="5"/>
        <v>40581.036899999999</v>
      </c>
      <c r="R37" s="26">
        <f t="shared" si="8"/>
        <v>3.1186295941665585E-5</v>
      </c>
    </row>
    <row r="38" spans="1:32" s="26" customFormat="1">
      <c r="A38" s="48" t="s">
        <v>54</v>
      </c>
      <c r="B38" s="49" t="s">
        <v>49</v>
      </c>
      <c r="C38" s="50">
        <v>55599.541599999997</v>
      </c>
      <c r="D38" s="50">
        <v>5.0000000000000001E-4</v>
      </c>
      <c r="E38" s="26">
        <f t="shared" si="2"/>
        <v>7138.739845283224</v>
      </c>
      <c r="F38" s="52">
        <f t="shared" si="9"/>
        <v>7139</v>
      </c>
      <c r="G38" s="26">
        <f t="shared" si="3"/>
        <v>-0.88789399999950547</v>
      </c>
      <c r="J38" s="27"/>
      <c r="K38" s="26">
        <f>G38</f>
        <v>-0.88789399999950547</v>
      </c>
      <c r="O38" s="26">
        <f t="shared" ca="1" si="7"/>
        <v>-0.89722035224666441</v>
      </c>
      <c r="P38" s="28">
        <f t="shared" si="4"/>
        <v>-0.88700953082441458</v>
      </c>
      <c r="Q38" s="29">
        <f t="shared" si="5"/>
        <v>40581.041599999997</v>
      </c>
      <c r="R38" s="26">
        <f t="shared" si="8"/>
        <v>7.8228572168595067E-7</v>
      </c>
      <c r="AA38" s="26" t="s">
        <v>30</v>
      </c>
      <c r="AB38" s="26">
        <v>6</v>
      </c>
      <c r="AD38" s="26" t="s">
        <v>28</v>
      </c>
      <c r="AF38" s="26" t="s">
        <v>29</v>
      </c>
    </row>
    <row r="39" spans="1:32" s="26" customFormat="1">
      <c r="A39" s="48" t="s">
        <v>54</v>
      </c>
      <c r="B39" s="49" t="s">
        <v>49</v>
      </c>
      <c r="C39" s="50">
        <v>55599.544099999999</v>
      </c>
      <c r="D39" s="50">
        <v>1.5E-3</v>
      </c>
      <c r="E39" s="26">
        <f t="shared" si="2"/>
        <v>7138.7405777882223</v>
      </c>
      <c r="F39" s="52">
        <f t="shared" si="9"/>
        <v>7139</v>
      </c>
      <c r="G39" s="26">
        <f t="shared" si="3"/>
        <v>-0.88539399999717716</v>
      </c>
      <c r="J39" s="27"/>
      <c r="K39" s="26">
        <f>G39</f>
        <v>-0.88539399999717716</v>
      </c>
      <c r="O39" s="26">
        <f t="shared" ca="1" si="7"/>
        <v>-0.89722035224666441</v>
      </c>
      <c r="P39" s="28">
        <f t="shared" si="4"/>
        <v>-0.88700953082441458</v>
      </c>
      <c r="Q39" s="29">
        <f t="shared" si="5"/>
        <v>40581.044099999999</v>
      </c>
      <c r="R39" s="26">
        <f t="shared" si="8"/>
        <v>2.6099398537544271E-6</v>
      </c>
    </row>
    <row r="40" spans="1:32" s="26" customFormat="1">
      <c r="A40" s="46" t="s">
        <v>55</v>
      </c>
      <c r="B40" s="47" t="s">
        <v>49</v>
      </c>
      <c r="C40" s="46">
        <v>55643.911500000002</v>
      </c>
      <c r="D40" s="46">
        <v>5.0000000000000001E-4</v>
      </c>
      <c r="E40" s="26">
        <f t="shared" si="2"/>
        <v>7151.7403146724282</v>
      </c>
      <c r="F40" s="52">
        <f t="shared" si="9"/>
        <v>7152</v>
      </c>
      <c r="G40" s="26">
        <f t="shared" si="3"/>
        <v>-0.88629199999559205</v>
      </c>
      <c r="J40" s="26">
        <f>G40</f>
        <v>-0.88629199999559205</v>
      </c>
      <c r="O40" s="26">
        <f t="shared" ca="1" si="7"/>
        <v>-0.89957494460576792</v>
      </c>
      <c r="P40" s="28">
        <f t="shared" si="4"/>
        <v>-0.88700403790329929</v>
      </c>
      <c r="Q40" s="29">
        <f t="shared" si="5"/>
        <v>40625.411500000002</v>
      </c>
      <c r="R40" s="26">
        <f t="shared" si="8"/>
        <v>5.0699798201210607E-7</v>
      </c>
    </row>
    <row r="41" spans="1:32" s="26" customFormat="1">
      <c r="A41" s="46" t="s">
        <v>56</v>
      </c>
      <c r="B41" s="47" t="s">
        <v>50</v>
      </c>
      <c r="C41" s="46">
        <v>55681.448299999996</v>
      </c>
      <c r="D41" s="46" t="s">
        <v>57</v>
      </c>
      <c r="E41" s="26">
        <f t="shared" si="2"/>
        <v>7162.7386721032208</v>
      </c>
      <c r="F41" s="52">
        <f t="shared" si="9"/>
        <v>7163</v>
      </c>
      <c r="G41" s="26">
        <f t="shared" si="3"/>
        <v>-0.89189800000167452</v>
      </c>
      <c r="J41" s="26">
        <f>G41</f>
        <v>-0.89189800000167452</v>
      </c>
      <c r="O41" s="26">
        <f t="shared" ca="1" si="7"/>
        <v>-0.90156729198654761</v>
      </c>
      <c r="P41" s="28">
        <f t="shared" si="4"/>
        <v>-0.88695416503305857</v>
      </c>
      <c r="Q41" s="29">
        <f t="shared" si="5"/>
        <v>40662.948299999996</v>
      </c>
      <c r="R41" s="26">
        <f t="shared" si="8"/>
        <v>2.4441504196909828E-5</v>
      </c>
      <c r="AA41" s="26" t="s">
        <v>30</v>
      </c>
      <c r="AF41" s="26" t="s">
        <v>32</v>
      </c>
    </row>
    <row r="42" spans="1:32" s="26" customFormat="1">
      <c r="C42" s="25"/>
      <c r="D42" s="25"/>
      <c r="P42" s="28"/>
      <c r="Q42" s="29"/>
      <c r="AA42" s="26" t="s">
        <v>30</v>
      </c>
      <c r="AB42" s="26">
        <v>8</v>
      </c>
      <c r="AD42" s="26" t="s">
        <v>28</v>
      </c>
      <c r="AF42" s="26" t="s">
        <v>29</v>
      </c>
    </row>
    <row r="43" spans="1:32" s="26" customFormat="1">
      <c r="C43" s="25"/>
      <c r="D43" s="25"/>
      <c r="P43" s="28"/>
      <c r="Q43" s="29"/>
      <c r="AA43" s="26" t="s">
        <v>30</v>
      </c>
      <c r="AF43" s="26" t="s">
        <v>32</v>
      </c>
    </row>
    <row r="44" spans="1:32" s="26" customFormat="1">
      <c r="C44" s="25"/>
      <c r="D44" s="25"/>
      <c r="P44" s="28"/>
      <c r="Q44" s="29"/>
    </row>
    <row r="45" spans="1:32" s="26" customFormat="1">
      <c r="C45" s="25"/>
      <c r="D45" s="25"/>
      <c r="P45" s="28"/>
      <c r="Q45" s="29"/>
    </row>
    <row r="46" spans="1:32" s="26" customFormat="1">
      <c r="C46" s="25"/>
      <c r="D46" s="25"/>
      <c r="P46" s="28"/>
      <c r="Q46" s="29"/>
    </row>
    <row r="47" spans="1:32" s="26" customFormat="1">
      <c r="C47" s="25"/>
      <c r="D47" s="25"/>
      <c r="P47" s="28"/>
      <c r="Q47" s="29"/>
    </row>
    <row r="48" spans="1:32" s="26" customFormat="1">
      <c r="C48" s="25"/>
      <c r="D48" s="25"/>
      <c r="P48" s="28"/>
      <c r="Q48" s="29"/>
    </row>
    <row r="49" spans="3:17" s="26" customFormat="1">
      <c r="C49" s="25"/>
      <c r="D49" s="25"/>
      <c r="P49" s="28"/>
      <c r="Q49" s="29"/>
    </row>
    <row r="50" spans="3:17" s="26" customFormat="1">
      <c r="C50" s="25"/>
      <c r="D50" s="25"/>
      <c r="P50" s="28"/>
    </row>
    <row r="51" spans="3:17" s="26" customFormat="1">
      <c r="C51" s="25"/>
      <c r="D51" s="25"/>
      <c r="P51" s="28"/>
    </row>
    <row r="52" spans="3:17" s="26" customFormat="1">
      <c r="C52" s="25"/>
      <c r="D52" s="25"/>
      <c r="P52" s="28"/>
    </row>
    <row r="53" spans="3:17" s="26" customFormat="1">
      <c r="C53" s="25"/>
      <c r="D53" s="25"/>
      <c r="P53" s="28"/>
    </row>
    <row r="54" spans="3:17" s="26" customFormat="1">
      <c r="C54" s="25"/>
      <c r="D54" s="25"/>
      <c r="P54" s="28"/>
    </row>
    <row r="55" spans="3:17" s="26" customFormat="1">
      <c r="C55" s="25"/>
      <c r="D55" s="25"/>
      <c r="P55" s="28"/>
    </row>
    <row r="56" spans="3:17" s="26" customFormat="1">
      <c r="C56" s="25"/>
      <c r="D56" s="25"/>
      <c r="P56" s="28"/>
    </row>
    <row r="57" spans="3:17" s="26" customFormat="1">
      <c r="C57" s="25"/>
      <c r="D57" s="25"/>
      <c r="P57" s="28"/>
    </row>
    <row r="58" spans="3:17" s="26" customFormat="1">
      <c r="C58" s="25"/>
      <c r="D58" s="25"/>
      <c r="P58" s="28"/>
    </row>
    <row r="59" spans="3:17" s="26" customFormat="1">
      <c r="C59" s="25"/>
      <c r="D59" s="25"/>
      <c r="P59" s="28"/>
    </row>
    <row r="60" spans="3:17" s="26" customFormat="1">
      <c r="C60" s="25"/>
      <c r="D60" s="25"/>
      <c r="P60" s="28"/>
    </row>
    <row r="61" spans="3:17" s="26" customFormat="1">
      <c r="C61" s="25"/>
      <c r="D61" s="25"/>
      <c r="P61" s="28"/>
    </row>
    <row r="62" spans="3:17" s="26" customFormat="1">
      <c r="C62" s="25"/>
      <c r="D62" s="25"/>
      <c r="P62" s="28"/>
    </row>
    <row r="63" spans="3:17" s="26" customFormat="1">
      <c r="C63" s="25"/>
      <c r="D63" s="25"/>
      <c r="P63" s="28"/>
    </row>
    <row r="64" spans="3:17" s="26" customFormat="1">
      <c r="C64" s="25"/>
      <c r="D64" s="25"/>
      <c r="P64" s="28"/>
    </row>
    <row r="65" spans="3:16" s="26" customFormat="1">
      <c r="C65" s="25"/>
      <c r="D65" s="25"/>
      <c r="P65" s="28"/>
    </row>
    <row r="66" spans="3:16" s="26" customFormat="1">
      <c r="C66" s="25"/>
      <c r="D66" s="25"/>
      <c r="P66" s="28"/>
    </row>
    <row r="67" spans="3:16" s="26" customFormat="1">
      <c r="C67" s="25"/>
      <c r="D67" s="25"/>
      <c r="P67" s="28"/>
    </row>
    <row r="68" spans="3:16" s="26" customFormat="1">
      <c r="C68" s="25"/>
      <c r="D68" s="25"/>
      <c r="P68" s="28"/>
    </row>
    <row r="69" spans="3:16" s="26" customFormat="1">
      <c r="C69" s="25"/>
      <c r="D69" s="25"/>
      <c r="P69" s="28"/>
    </row>
    <row r="70" spans="3:16" s="26" customFormat="1">
      <c r="C70" s="25"/>
      <c r="D70" s="25"/>
      <c r="P70" s="28"/>
    </row>
    <row r="71" spans="3:16" s="26" customFormat="1">
      <c r="C71" s="25"/>
      <c r="D71" s="25"/>
      <c r="P71" s="28"/>
    </row>
    <row r="72" spans="3:16" s="26" customFormat="1">
      <c r="C72" s="25"/>
      <c r="D72" s="25"/>
      <c r="P72" s="28"/>
    </row>
    <row r="73" spans="3:16" s="26" customFormat="1">
      <c r="C73" s="25"/>
      <c r="D73" s="25"/>
      <c r="P73" s="28"/>
    </row>
    <row r="74" spans="3:16" s="26" customFormat="1">
      <c r="C74" s="25"/>
      <c r="D74" s="25"/>
      <c r="P74" s="28"/>
    </row>
    <row r="75" spans="3:16" s="26" customFormat="1">
      <c r="C75" s="25"/>
      <c r="D75" s="25"/>
      <c r="P75" s="28"/>
    </row>
    <row r="76" spans="3:16" s="26" customFormat="1">
      <c r="C76" s="25"/>
      <c r="D76" s="25"/>
      <c r="P76" s="28"/>
    </row>
    <row r="77" spans="3:16" s="26" customFormat="1">
      <c r="C77" s="25"/>
      <c r="D77" s="25"/>
      <c r="P77" s="28"/>
    </row>
    <row r="78" spans="3:16" s="26" customFormat="1">
      <c r="C78" s="25"/>
      <c r="D78" s="25"/>
      <c r="P78" s="28"/>
    </row>
    <row r="79" spans="3:16" s="26" customFormat="1">
      <c r="C79" s="25"/>
      <c r="D79" s="25"/>
      <c r="P79" s="28"/>
    </row>
    <row r="80" spans="3:16" s="26" customFormat="1">
      <c r="C80" s="25"/>
      <c r="D80" s="25"/>
      <c r="P80" s="28"/>
    </row>
    <row r="81" spans="3:16" s="26" customFormat="1">
      <c r="C81" s="25"/>
      <c r="D81" s="25"/>
      <c r="P81" s="28"/>
    </row>
    <row r="82" spans="3:16" s="26" customFormat="1">
      <c r="C82" s="25"/>
      <c r="D82" s="25"/>
      <c r="P82" s="28"/>
    </row>
    <row r="83" spans="3:16" s="26" customFormat="1">
      <c r="C83" s="25"/>
      <c r="D83" s="25"/>
      <c r="P83" s="28"/>
    </row>
    <row r="84" spans="3:16" s="26" customFormat="1">
      <c r="C84" s="25"/>
      <c r="D84" s="25"/>
      <c r="P84" s="28"/>
    </row>
    <row r="85" spans="3:16" s="26" customFormat="1">
      <c r="C85" s="25"/>
      <c r="D85" s="25"/>
      <c r="P85" s="28"/>
    </row>
    <row r="86" spans="3:16" s="26" customFormat="1">
      <c r="C86" s="25"/>
      <c r="D86" s="25"/>
      <c r="P86" s="28"/>
    </row>
    <row r="87" spans="3:16" s="26" customFormat="1">
      <c r="C87" s="25"/>
      <c r="D87" s="25"/>
      <c r="P87" s="28"/>
    </row>
    <row r="88" spans="3:16" s="26" customFormat="1">
      <c r="C88" s="25"/>
      <c r="D88" s="25"/>
      <c r="P88" s="28"/>
    </row>
    <row r="89" spans="3:16" s="26" customFormat="1">
      <c r="C89" s="25"/>
      <c r="D89" s="25"/>
      <c r="P89" s="28"/>
    </row>
    <row r="90" spans="3:16" s="26" customFormat="1">
      <c r="C90" s="25"/>
      <c r="D90" s="25"/>
      <c r="P90" s="28"/>
    </row>
    <row r="91" spans="3:16" s="26" customFormat="1">
      <c r="C91" s="25"/>
      <c r="D91" s="25"/>
      <c r="P91" s="28"/>
    </row>
    <row r="92" spans="3:16" s="26" customFormat="1">
      <c r="C92" s="25"/>
      <c r="D92" s="25"/>
      <c r="P92" s="28"/>
    </row>
    <row r="93" spans="3:16" s="26" customFormat="1">
      <c r="C93" s="25"/>
      <c r="D93" s="25"/>
      <c r="P93" s="28"/>
    </row>
    <row r="94" spans="3:16" s="26" customFormat="1">
      <c r="C94" s="25"/>
      <c r="D94" s="25"/>
      <c r="P94" s="28"/>
    </row>
    <row r="95" spans="3:16" s="26" customFormat="1">
      <c r="C95" s="25"/>
      <c r="D95" s="25"/>
      <c r="P95" s="28"/>
    </row>
    <row r="96" spans="3:16" s="26" customFormat="1">
      <c r="C96" s="25"/>
      <c r="D96" s="25"/>
      <c r="P96" s="28"/>
    </row>
    <row r="97" spans="3:16" s="26" customFormat="1">
      <c r="C97" s="25"/>
      <c r="D97" s="25"/>
      <c r="P97" s="28"/>
    </row>
    <row r="98" spans="3:16" s="26" customFormat="1">
      <c r="C98" s="25"/>
      <c r="D98" s="25"/>
      <c r="P98" s="28"/>
    </row>
    <row r="99" spans="3:16" s="26" customFormat="1">
      <c r="C99" s="25"/>
      <c r="D99" s="25"/>
      <c r="P99" s="28"/>
    </row>
    <row r="100" spans="3:16" s="26" customFormat="1">
      <c r="C100" s="25"/>
      <c r="D100" s="25"/>
      <c r="P100" s="28"/>
    </row>
    <row r="101" spans="3:16" s="26" customFormat="1">
      <c r="C101" s="25"/>
      <c r="D101" s="25"/>
      <c r="P101" s="28"/>
    </row>
    <row r="102" spans="3:16" s="26" customFormat="1">
      <c r="C102" s="25"/>
      <c r="D102" s="25"/>
      <c r="P102" s="28"/>
    </row>
    <row r="103" spans="3:16" s="26" customFormat="1">
      <c r="C103" s="25"/>
      <c r="D103" s="25"/>
      <c r="P103" s="28"/>
    </row>
    <row r="104" spans="3:16" s="26" customFormat="1">
      <c r="C104" s="25"/>
      <c r="D104" s="25"/>
      <c r="P104" s="28"/>
    </row>
    <row r="105" spans="3:16" s="26" customFormat="1">
      <c r="C105" s="25"/>
      <c r="D105" s="25"/>
      <c r="P105" s="28"/>
    </row>
    <row r="106" spans="3:16" s="26" customFormat="1">
      <c r="C106" s="25"/>
      <c r="D106" s="25"/>
      <c r="P106" s="28"/>
    </row>
    <row r="107" spans="3:16" s="26" customFormat="1">
      <c r="C107" s="25"/>
      <c r="D107" s="25"/>
      <c r="P107" s="28"/>
    </row>
    <row r="108" spans="3:16" s="26" customFormat="1">
      <c r="C108" s="25"/>
      <c r="D108" s="25"/>
      <c r="P108" s="28"/>
    </row>
    <row r="109" spans="3:16" s="26" customFormat="1">
      <c r="C109" s="25"/>
      <c r="D109" s="25"/>
      <c r="P109" s="28"/>
    </row>
    <row r="110" spans="3:16" s="26" customFormat="1">
      <c r="C110" s="25"/>
      <c r="D110" s="25"/>
      <c r="P110" s="28"/>
    </row>
    <row r="111" spans="3:16" s="26" customFormat="1">
      <c r="C111" s="25"/>
      <c r="D111" s="25"/>
      <c r="P111" s="28"/>
    </row>
    <row r="112" spans="3:16" s="26" customFormat="1">
      <c r="C112" s="25"/>
      <c r="D112" s="25"/>
      <c r="P112" s="28"/>
    </row>
    <row r="113" spans="3:16" s="26" customFormat="1">
      <c r="C113" s="25"/>
      <c r="D113" s="25"/>
      <c r="P113" s="28"/>
    </row>
    <row r="114" spans="3:16" s="26" customFormat="1">
      <c r="C114" s="25"/>
      <c r="D114" s="25"/>
      <c r="P114" s="28"/>
    </row>
    <row r="115" spans="3:16" s="26" customFormat="1">
      <c r="C115" s="25"/>
      <c r="D115" s="25"/>
      <c r="P115" s="28"/>
    </row>
    <row r="116" spans="3:16" s="26" customFormat="1">
      <c r="C116" s="25"/>
      <c r="D116" s="25"/>
      <c r="P116" s="28"/>
    </row>
    <row r="117" spans="3:16" s="26" customFormat="1">
      <c r="C117" s="25"/>
      <c r="D117" s="25"/>
      <c r="P117" s="28"/>
    </row>
    <row r="118" spans="3:16" s="26" customFormat="1">
      <c r="C118" s="25"/>
      <c r="D118" s="25"/>
      <c r="P118" s="28"/>
    </row>
    <row r="119" spans="3:16" s="26" customFormat="1">
      <c r="C119" s="25"/>
      <c r="D119" s="25"/>
      <c r="P119" s="28"/>
    </row>
    <row r="120" spans="3:16" s="26" customFormat="1">
      <c r="C120" s="25"/>
      <c r="D120" s="25"/>
      <c r="P120" s="28"/>
    </row>
    <row r="121" spans="3:16" s="26" customFormat="1">
      <c r="C121" s="25"/>
      <c r="D121" s="25"/>
      <c r="P121" s="28"/>
    </row>
    <row r="122" spans="3:16" s="26" customFormat="1">
      <c r="C122" s="25"/>
      <c r="D122" s="25"/>
      <c r="P122" s="28"/>
    </row>
    <row r="123" spans="3:16" s="26" customFormat="1">
      <c r="C123" s="25"/>
      <c r="D123" s="25"/>
      <c r="P123" s="28"/>
    </row>
    <row r="124" spans="3:16" s="26" customFormat="1">
      <c r="C124" s="25"/>
      <c r="D124" s="25"/>
      <c r="P124" s="28"/>
    </row>
    <row r="125" spans="3:16" s="26" customFormat="1">
      <c r="C125" s="25"/>
      <c r="D125" s="25"/>
      <c r="P125" s="28"/>
    </row>
    <row r="126" spans="3:16" s="26" customFormat="1">
      <c r="C126" s="25"/>
      <c r="D126" s="25"/>
      <c r="P126" s="28"/>
    </row>
    <row r="127" spans="3:16" s="26" customFormat="1">
      <c r="C127" s="25"/>
      <c r="D127" s="25"/>
      <c r="P127" s="28"/>
    </row>
    <row r="128" spans="3:16" s="26" customFormat="1">
      <c r="C128" s="25"/>
      <c r="D128" s="25"/>
      <c r="P128" s="28"/>
    </row>
    <row r="129" spans="3:16" s="26" customFormat="1">
      <c r="C129" s="25"/>
      <c r="D129" s="25"/>
      <c r="P129" s="28"/>
    </row>
    <row r="130" spans="3:16" s="26" customFormat="1">
      <c r="C130" s="25"/>
      <c r="D130" s="25"/>
      <c r="P130" s="28"/>
    </row>
    <row r="131" spans="3:16" s="26" customFormat="1">
      <c r="C131" s="25"/>
      <c r="D131" s="25"/>
      <c r="P131" s="28"/>
    </row>
    <row r="132" spans="3:16" s="26" customFormat="1">
      <c r="C132" s="25"/>
      <c r="D132" s="25"/>
      <c r="P132" s="28"/>
    </row>
    <row r="133" spans="3:16" s="26" customFormat="1">
      <c r="C133" s="25"/>
      <c r="D133" s="25"/>
      <c r="P133" s="28"/>
    </row>
    <row r="134" spans="3:16" s="26" customFormat="1">
      <c r="C134" s="25"/>
      <c r="D134" s="25"/>
      <c r="P134" s="28"/>
    </row>
    <row r="135" spans="3:16" s="26" customFormat="1">
      <c r="C135" s="25"/>
      <c r="D135" s="25"/>
      <c r="P135" s="28"/>
    </row>
    <row r="136" spans="3:16">
      <c r="C136" s="24"/>
      <c r="D136" s="24"/>
      <c r="P136" s="16"/>
    </row>
    <row r="137" spans="3:16">
      <c r="C137" s="24"/>
      <c r="D137" s="24"/>
      <c r="P137" s="16"/>
    </row>
    <row r="138" spans="3:16">
      <c r="C138" s="24"/>
      <c r="D138" s="24"/>
      <c r="P138" s="16"/>
    </row>
    <row r="139" spans="3:16">
      <c r="C139" s="24"/>
      <c r="D139" s="24"/>
      <c r="P139" s="16"/>
    </row>
    <row r="140" spans="3:16">
      <c r="C140" s="24"/>
      <c r="D140" s="24"/>
      <c r="P140" s="16"/>
    </row>
    <row r="141" spans="3:16">
      <c r="C141" s="24"/>
      <c r="D141" s="24"/>
      <c r="P141" s="16"/>
    </row>
    <row r="142" spans="3:16">
      <c r="C142" s="24"/>
      <c r="D142" s="24"/>
      <c r="P142" s="16"/>
    </row>
    <row r="143" spans="3:16">
      <c r="C143" s="24"/>
      <c r="D143" s="24"/>
      <c r="P143" s="16"/>
    </row>
    <row r="144" spans="3:16">
      <c r="C144" s="24"/>
      <c r="D144" s="24"/>
      <c r="P144" s="16"/>
    </row>
    <row r="145" spans="3:16">
      <c r="C145" s="24"/>
      <c r="D145" s="24"/>
      <c r="P145" s="16"/>
    </row>
    <row r="146" spans="3:16">
      <c r="C146" s="24"/>
      <c r="D146" s="24"/>
      <c r="P146" s="16"/>
    </row>
    <row r="147" spans="3:16">
      <c r="C147" s="24"/>
      <c r="D147" s="24"/>
      <c r="P147" s="16"/>
    </row>
    <row r="148" spans="3:16">
      <c r="C148" s="24"/>
      <c r="D148" s="24"/>
      <c r="P148" s="16"/>
    </row>
    <row r="149" spans="3:16">
      <c r="C149" s="24"/>
      <c r="D149" s="24"/>
      <c r="P149" s="16"/>
    </row>
    <row r="150" spans="3:16">
      <c r="C150" s="24"/>
      <c r="D150" s="24"/>
      <c r="P150" s="16"/>
    </row>
    <row r="151" spans="3:16">
      <c r="C151" s="24"/>
      <c r="D151" s="24"/>
      <c r="P151" s="16"/>
    </row>
    <row r="152" spans="3:16">
      <c r="C152" s="24"/>
      <c r="D152" s="24"/>
      <c r="P152" s="16"/>
    </row>
    <row r="153" spans="3:16">
      <c r="C153" s="24"/>
      <c r="D153" s="24"/>
      <c r="P153" s="16"/>
    </row>
    <row r="154" spans="3:16">
      <c r="C154" s="24"/>
      <c r="D154" s="24"/>
      <c r="P154" s="16"/>
    </row>
    <row r="155" spans="3:16">
      <c r="C155" s="24"/>
      <c r="D155" s="24"/>
      <c r="P155" s="16"/>
    </row>
    <row r="156" spans="3:16">
      <c r="C156" s="24"/>
      <c r="D156" s="24"/>
      <c r="P156" s="16"/>
    </row>
    <row r="157" spans="3:16">
      <c r="C157" s="24"/>
      <c r="D157" s="24"/>
      <c r="P157" s="16"/>
    </row>
    <row r="158" spans="3:16">
      <c r="C158" s="24"/>
      <c r="D158" s="24"/>
      <c r="P158" s="16"/>
    </row>
    <row r="159" spans="3:16">
      <c r="C159" s="24"/>
      <c r="D159" s="24"/>
      <c r="P159" s="16"/>
    </row>
    <row r="160" spans="3:16">
      <c r="C160" s="24"/>
      <c r="D160" s="24"/>
      <c r="P160" s="16"/>
    </row>
    <row r="161" spans="3:16">
      <c r="C161" s="24"/>
      <c r="D161" s="24"/>
      <c r="P161" s="16"/>
    </row>
    <row r="162" spans="3:16">
      <c r="C162" s="24"/>
      <c r="D162" s="24"/>
      <c r="P162" s="16"/>
    </row>
    <row r="163" spans="3:16">
      <c r="C163" s="24"/>
      <c r="D163" s="24"/>
      <c r="P163" s="16"/>
    </row>
    <row r="164" spans="3:16">
      <c r="C164" s="24"/>
      <c r="D164" s="24"/>
      <c r="P164" s="16"/>
    </row>
    <row r="165" spans="3:16">
      <c r="C165" s="24"/>
      <c r="D165" s="24"/>
      <c r="P165" s="16"/>
    </row>
    <row r="166" spans="3:16">
      <c r="C166" s="24"/>
      <c r="D166" s="24"/>
      <c r="P166" s="16"/>
    </row>
    <row r="167" spans="3:16">
      <c r="C167" s="24"/>
      <c r="D167" s="24"/>
      <c r="P167" s="16"/>
    </row>
    <row r="168" spans="3:16">
      <c r="C168" s="24"/>
      <c r="D168" s="24"/>
      <c r="P168" s="16"/>
    </row>
    <row r="169" spans="3:16">
      <c r="C169" s="24"/>
      <c r="D169" s="24"/>
      <c r="P169" s="16"/>
    </row>
    <row r="170" spans="3:16">
      <c r="C170" s="24"/>
      <c r="D170" s="24"/>
      <c r="P170" s="16"/>
    </row>
    <row r="171" spans="3:16">
      <c r="C171" s="24"/>
      <c r="D171" s="24"/>
      <c r="P171" s="16"/>
    </row>
    <row r="172" spans="3:16">
      <c r="C172" s="24"/>
      <c r="D172" s="24"/>
      <c r="P172" s="16"/>
    </row>
    <row r="173" spans="3:16">
      <c r="C173" s="24"/>
      <c r="D173" s="24"/>
      <c r="P173" s="16"/>
    </row>
    <row r="174" spans="3:16">
      <c r="C174" s="24"/>
      <c r="D174" s="24"/>
      <c r="P174" s="16"/>
    </row>
    <row r="175" spans="3:16">
      <c r="C175" s="24"/>
      <c r="D175" s="24"/>
      <c r="P175" s="16"/>
    </row>
    <row r="176" spans="3:16">
      <c r="C176" s="24"/>
      <c r="D176" s="24"/>
      <c r="P176" s="16"/>
    </row>
    <row r="177" spans="3:16">
      <c r="C177" s="24"/>
      <c r="D177" s="24"/>
      <c r="P177" s="16"/>
    </row>
    <row r="178" spans="3:16">
      <c r="C178" s="24"/>
      <c r="D178" s="24"/>
      <c r="P178" s="16"/>
    </row>
    <row r="179" spans="3:16">
      <c r="C179" s="24"/>
      <c r="D179" s="24"/>
      <c r="P179" s="16"/>
    </row>
    <row r="180" spans="3:16">
      <c r="C180" s="24"/>
      <c r="D180" s="24"/>
      <c r="P180" s="16"/>
    </row>
    <row r="181" spans="3:16">
      <c r="C181" s="24"/>
      <c r="D181" s="24"/>
      <c r="P181" s="16"/>
    </row>
    <row r="182" spans="3:16">
      <c r="C182" s="24"/>
      <c r="D182" s="24"/>
      <c r="P182" s="16"/>
    </row>
    <row r="183" spans="3:16">
      <c r="C183" s="24"/>
      <c r="D183" s="24"/>
      <c r="P183" s="16"/>
    </row>
    <row r="184" spans="3:16">
      <c r="C184" s="24"/>
      <c r="D184" s="24"/>
      <c r="P184" s="16"/>
    </row>
    <row r="185" spans="3:16">
      <c r="C185" s="24"/>
      <c r="D185" s="24"/>
      <c r="P185" s="16"/>
    </row>
    <row r="186" spans="3:16">
      <c r="C186" s="24"/>
      <c r="D186" s="24"/>
      <c r="P186" s="16"/>
    </row>
    <row r="187" spans="3:16">
      <c r="C187" s="24"/>
      <c r="D187" s="24"/>
      <c r="P187" s="16"/>
    </row>
    <row r="188" spans="3:16">
      <c r="C188" s="24"/>
      <c r="D188" s="24"/>
      <c r="P188" s="16"/>
    </row>
    <row r="189" spans="3:16">
      <c r="C189" s="24"/>
      <c r="D189" s="24"/>
      <c r="P189" s="16"/>
    </row>
    <row r="190" spans="3:16">
      <c r="C190" s="24"/>
      <c r="D190" s="24"/>
      <c r="P190" s="16"/>
    </row>
    <row r="191" spans="3:16">
      <c r="C191" s="24"/>
      <c r="D191" s="24"/>
      <c r="P191" s="16"/>
    </row>
    <row r="192" spans="3:16">
      <c r="C192" s="24"/>
      <c r="D192" s="24"/>
      <c r="P192" s="16"/>
    </row>
    <row r="193" spans="3:16">
      <c r="C193" s="24"/>
      <c r="D193" s="24"/>
      <c r="P193" s="16"/>
    </row>
    <row r="194" spans="3:16">
      <c r="C194" s="24"/>
      <c r="D194" s="24"/>
      <c r="P194" s="16"/>
    </row>
    <row r="195" spans="3:16">
      <c r="C195" s="24"/>
      <c r="D195" s="24"/>
      <c r="P195" s="16"/>
    </row>
    <row r="196" spans="3:16">
      <c r="C196" s="24"/>
      <c r="D196" s="24"/>
      <c r="P196" s="16"/>
    </row>
    <row r="197" spans="3:16">
      <c r="C197" s="24"/>
      <c r="D197" s="24"/>
      <c r="P197" s="16"/>
    </row>
    <row r="198" spans="3:16">
      <c r="C198" s="24"/>
      <c r="D198" s="24"/>
      <c r="P198" s="16"/>
    </row>
    <row r="199" spans="3:16">
      <c r="C199" s="24"/>
      <c r="D199" s="24"/>
      <c r="P199" s="16"/>
    </row>
    <row r="200" spans="3:16">
      <c r="C200" s="24"/>
      <c r="D200" s="24"/>
      <c r="P200" s="16"/>
    </row>
    <row r="201" spans="3:16">
      <c r="C201" s="24"/>
      <c r="D201" s="24"/>
      <c r="P201" s="16"/>
    </row>
    <row r="202" spans="3:16">
      <c r="C202" s="24"/>
      <c r="D202" s="24"/>
      <c r="P202" s="16"/>
    </row>
    <row r="203" spans="3:16">
      <c r="C203" s="24"/>
      <c r="D203" s="24"/>
      <c r="P203" s="16"/>
    </row>
    <row r="204" spans="3:16">
      <c r="C204" s="24"/>
      <c r="D204" s="24"/>
      <c r="P204" s="16"/>
    </row>
    <row r="205" spans="3:16">
      <c r="C205" s="24"/>
      <c r="D205" s="24"/>
      <c r="P205" s="16"/>
    </row>
    <row r="206" spans="3:16">
      <c r="C206" s="24"/>
      <c r="D206" s="24"/>
      <c r="P206" s="16"/>
    </row>
    <row r="207" spans="3:16">
      <c r="C207" s="24"/>
      <c r="D207" s="24"/>
      <c r="P207" s="16"/>
    </row>
    <row r="208" spans="3:16">
      <c r="C208" s="24"/>
      <c r="D208" s="24"/>
      <c r="P208" s="16"/>
    </row>
    <row r="209" spans="3:16">
      <c r="C209" s="24"/>
      <c r="D209" s="24"/>
      <c r="P209" s="16"/>
    </row>
    <row r="210" spans="3:16">
      <c r="C210" s="24"/>
      <c r="D210" s="24"/>
      <c r="P210" s="16"/>
    </row>
    <row r="211" spans="3:16">
      <c r="C211" s="24"/>
      <c r="D211" s="24"/>
      <c r="P211" s="16"/>
    </row>
    <row r="212" spans="3:16">
      <c r="C212" s="24"/>
      <c r="D212" s="24"/>
      <c r="P212" s="16"/>
    </row>
    <row r="213" spans="3:16">
      <c r="C213" s="24"/>
      <c r="D213" s="24"/>
      <c r="P213" s="16"/>
    </row>
    <row r="214" spans="3:16">
      <c r="C214" s="24"/>
      <c r="D214" s="24"/>
      <c r="P214" s="16"/>
    </row>
    <row r="215" spans="3:16">
      <c r="C215" s="24"/>
      <c r="D215" s="24"/>
      <c r="P215" s="16"/>
    </row>
    <row r="216" spans="3:16">
      <c r="C216" s="24"/>
      <c r="D216" s="24"/>
      <c r="P216" s="16"/>
    </row>
    <row r="217" spans="3:16">
      <c r="C217" s="24"/>
      <c r="D217" s="24"/>
      <c r="P217" s="16"/>
    </row>
    <row r="218" spans="3:16">
      <c r="C218" s="24"/>
      <c r="D218" s="24"/>
      <c r="P218" s="16"/>
    </row>
    <row r="219" spans="3:16">
      <c r="C219" s="24"/>
      <c r="D219" s="24"/>
      <c r="P219" s="16"/>
    </row>
    <row r="220" spans="3:16">
      <c r="C220" s="24"/>
      <c r="D220" s="24"/>
      <c r="P220" s="16"/>
    </row>
    <row r="221" spans="3:16">
      <c r="C221" s="24"/>
      <c r="D221" s="24"/>
      <c r="P221" s="16"/>
    </row>
    <row r="222" spans="3:16">
      <c r="C222" s="24"/>
      <c r="D222" s="24"/>
      <c r="P222" s="16"/>
    </row>
    <row r="223" spans="3:16">
      <c r="C223" s="24"/>
      <c r="D223" s="24"/>
      <c r="P223" s="16"/>
    </row>
    <row r="224" spans="3:16">
      <c r="C224" s="24"/>
      <c r="D224" s="24"/>
      <c r="P224" s="16"/>
    </row>
    <row r="225" spans="3:16">
      <c r="C225" s="24"/>
      <c r="D225" s="24"/>
      <c r="P225" s="16"/>
    </row>
    <row r="226" spans="3:16">
      <c r="C226" s="24"/>
      <c r="D226" s="24"/>
      <c r="P226" s="16"/>
    </row>
    <row r="227" spans="3:16">
      <c r="C227" s="24"/>
      <c r="D227" s="24"/>
      <c r="P227" s="16"/>
    </row>
    <row r="228" spans="3:16">
      <c r="C228" s="24"/>
      <c r="D228" s="24"/>
      <c r="P228" s="16"/>
    </row>
    <row r="229" spans="3:16">
      <c r="C229" s="24"/>
      <c r="D229" s="24"/>
      <c r="P229" s="16"/>
    </row>
    <row r="230" spans="3:16">
      <c r="C230" s="24"/>
      <c r="D230" s="24"/>
      <c r="P230" s="16"/>
    </row>
    <row r="231" spans="3:16">
      <c r="C231" s="24"/>
      <c r="D231" s="24"/>
      <c r="P231" s="16"/>
    </row>
    <row r="232" spans="3:16">
      <c r="C232" s="24"/>
      <c r="D232" s="24"/>
      <c r="P232" s="16"/>
    </row>
    <row r="233" spans="3:16">
      <c r="C233" s="24"/>
      <c r="D233" s="24"/>
      <c r="P233" s="16"/>
    </row>
    <row r="234" spans="3:16">
      <c r="C234" s="24"/>
      <c r="D234" s="24"/>
      <c r="P234" s="16"/>
    </row>
    <row r="235" spans="3:16">
      <c r="C235" s="24"/>
      <c r="D235" s="24"/>
      <c r="P235" s="16"/>
    </row>
    <row r="236" spans="3:16">
      <c r="C236" s="24"/>
      <c r="D236" s="24"/>
      <c r="P236" s="16"/>
    </row>
    <row r="237" spans="3:16">
      <c r="C237" s="24"/>
      <c r="D237" s="24"/>
      <c r="P237" s="16"/>
    </row>
    <row r="238" spans="3:16">
      <c r="C238" s="24"/>
      <c r="D238" s="24"/>
      <c r="P238" s="16"/>
    </row>
    <row r="239" spans="3:16">
      <c r="C239" s="24"/>
      <c r="D239" s="24"/>
      <c r="P239" s="16"/>
    </row>
    <row r="240" spans="3:16">
      <c r="C240" s="24"/>
      <c r="D240" s="24"/>
      <c r="P240" s="16"/>
    </row>
    <row r="241" spans="3:16">
      <c r="C241" s="24"/>
      <c r="D241" s="24"/>
      <c r="P241" s="16"/>
    </row>
    <row r="242" spans="3:16">
      <c r="C242" s="24"/>
      <c r="D242" s="24"/>
      <c r="P242" s="16"/>
    </row>
    <row r="243" spans="3:16">
      <c r="C243" s="24"/>
      <c r="D243" s="24"/>
      <c r="P243" s="16"/>
    </row>
    <row r="244" spans="3:16">
      <c r="C244" s="24"/>
      <c r="D244" s="24"/>
      <c r="P244" s="16"/>
    </row>
    <row r="245" spans="3:16">
      <c r="C245" s="24"/>
      <c r="D245" s="24"/>
      <c r="P245" s="16"/>
    </row>
    <row r="246" spans="3:16">
      <c r="C246" s="24"/>
      <c r="D246" s="24"/>
      <c r="P246" s="16"/>
    </row>
    <row r="247" spans="3:16">
      <c r="C247" s="24"/>
      <c r="D247" s="24"/>
      <c r="P247" s="16"/>
    </row>
    <row r="248" spans="3:16">
      <c r="C248" s="24"/>
      <c r="D248" s="24"/>
      <c r="P248" s="16"/>
    </row>
    <row r="249" spans="3:16">
      <c r="C249" s="24"/>
      <c r="D249" s="24"/>
      <c r="P249" s="16"/>
    </row>
    <row r="250" spans="3:16">
      <c r="C250" s="24"/>
      <c r="D250" s="24"/>
      <c r="P250" s="16"/>
    </row>
    <row r="251" spans="3:16">
      <c r="C251" s="24"/>
      <c r="D251" s="24"/>
      <c r="P251" s="16"/>
    </row>
    <row r="252" spans="3:16">
      <c r="C252" s="24"/>
      <c r="D252" s="24"/>
      <c r="P252" s="16"/>
    </row>
    <row r="253" spans="3:16">
      <c r="C253" s="24"/>
      <c r="D253" s="24"/>
      <c r="P253" s="16"/>
    </row>
    <row r="254" spans="3:16">
      <c r="C254" s="24"/>
      <c r="D254" s="24"/>
      <c r="P254" s="16"/>
    </row>
    <row r="255" spans="3:16">
      <c r="C255" s="24"/>
      <c r="D255" s="24"/>
      <c r="P255" s="16"/>
    </row>
    <row r="256" spans="3:16">
      <c r="C256" s="24"/>
      <c r="D256" s="24"/>
      <c r="P256" s="16"/>
    </row>
    <row r="257" spans="3:16">
      <c r="C257" s="24"/>
      <c r="D257" s="24"/>
      <c r="P257" s="16"/>
    </row>
    <row r="258" spans="3:16">
      <c r="C258" s="24"/>
      <c r="D258" s="24"/>
      <c r="P258" s="16"/>
    </row>
    <row r="259" spans="3:16">
      <c r="C259" s="24"/>
      <c r="D259" s="24"/>
      <c r="P259" s="16"/>
    </row>
    <row r="260" spans="3:16">
      <c r="C260" s="24"/>
      <c r="D260" s="24"/>
      <c r="P260" s="16"/>
    </row>
    <row r="261" spans="3:16">
      <c r="C261" s="24"/>
      <c r="D261" s="24"/>
      <c r="P261" s="16"/>
    </row>
    <row r="262" spans="3:16">
      <c r="C262" s="24"/>
      <c r="D262" s="24"/>
      <c r="P262" s="16"/>
    </row>
    <row r="263" spans="3:16">
      <c r="C263" s="24"/>
      <c r="D263" s="24"/>
      <c r="P263" s="16"/>
    </row>
    <row r="264" spans="3:16">
      <c r="C264" s="24"/>
      <c r="D264" s="24"/>
      <c r="P264" s="16"/>
    </row>
    <row r="265" spans="3:16">
      <c r="C265" s="24"/>
      <c r="D265" s="24"/>
      <c r="P265" s="16"/>
    </row>
    <row r="266" spans="3:16">
      <c r="C266" s="24"/>
      <c r="D266" s="24"/>
      <c r="P266" s="16"/>
    </row>
    <row r="267" spans="3:16">
      <c r="C267" s="24"/>
      <c r="D267" s="24"/>
      <c r="P267" s="16"/>
    </row>
    <row r="268" spans="3:16">
      <c r="C268" s="24"/>
      <c r="D268" s="24"/>
      <c r="P268" s="16"/>
    </row>
    <row r="269" spans="3:16">
      <c r="P269" s="16"/>
    </row>
    <row r="270" spans="3:16">
      <c r="P270" s="16"/>
    </row>
    <row r="271" spans="3:16">
      <c r="P271" s="16"/>
    </row>
    <row r="272" spans="3:16">
      <c r="P272" s="16"/>
    </row>
    <row r="273" spans="16:16">
      <c r="P273" s="16"/>
    </row>
    <row r="274" spans="16:16">
      <c r="P274" s="16"/>
    </row>
    <row r="275" spans="16:16">
      <c r="P275" s="16"/>
    </row>
    <row r="276" spans="16:16">
      <c r="P276" s="16"/>
    </row>
    <row r="277" spans="16:16">
      <c r="P277" s="16"/>
    </row>
    <row r="278" spans="16:16">
      <c r="P278" s="16"/>
    </row>
    <row r="279" spans="16:16">
      <c r="P279" s="16"/>
    </row>
    <row r="280" spans="16:16">
      <c r="P280" s="16"/>
    </row>
    <row r="281" spans="16:16">
      <c r="P281" s="16"/>
    </row>
    <row r="282" spans="16:16">
      <c r="P282" s="16"/>
    </row>
    <row r="283" spans="16:16">
      <c r="P283" s="16"/>
    </row>
    <row r="284" spans="16:16">
      <c r="P284" s="16"/>
    </row>
    <row r="285" spans="16:16">
      <c r="P285" s="16"/>
    </row>
    <row r="286" spans="16:16">
      <c r="P286" s="16"/>
    </row>
    <row r="287" spans="16:16">
      <c r="P287" s="16"/>
    </row>
    <row r="288" spans="16:16">
      <c r="P288" s="16"/>
    </row>
    <row r="289" spans="16:16">
      <c r="P289" s="16"/>
    </row>
    <row r="290" spans="16:16">
      <c r="P290" s="16"/>
    </row>
    <row r="291" spans="16:16">
      <c r="P291" s="16"/>
    </row>
    <row r="292" spans="16:16">
      <c r="P292" s="16"/>
    </row>
    <row r="293" spans="16:16">
      <c r="P293" s="16"/>
    </row>
    <row r="294" spans="16:16">
      <c r="P294" s="16"/>
    </row>
    <row r="295" spans="16:16">
      <c r="P295" s="16"/>
    </row>
    <row r="296" spans="16:16">
      <c r="P296" s="16"/>
    </row>
    <row r="297" spans="16:16">
      <c r="P297" s="16"/>
    </row>
    <row r="298" spans="16:16">
      <c r="P298" s="16"/>
    </row>
    <row r="299" spans="16:16">
      <c r="P299" s="16"/>
    </row>
    <row r="300" spans="16:16">
      <c r="P300" s="16"/>
    </row>
    <row r="301" spans="16:16">
      <c r="P301" s="16"/>
    </row>
    <row r="302" spans="16:16">
      <c r="P302" s="16"/>
    </row>
    <row r="303" spans="16:16">
      <c r="P303" s="16"/>
    </row>
    <row r="304" spans="16:16">
      <c r="P304" s="16"/>
    </row>
    <row r="305" spans="16:16">
      <c r="P305" s="16"/>
    </row>
    <row r="306" spans="16:16">
      <c r="P306" s="16"/>
    </row>
    <row r="307" spans="16:16">
      <c r="P307" s="16"/>
    </row>
    <row r="308" spans="16:16">
      <c r="P308" s="16"/>
    </row>
    <row r="309" spans="16:16">
      <c r="P309" s="16"/>
    </row>
    <row r="310" spans="16:16">
      <c r="P310" s="16"/>
    </row>
    <row r="311" spans="16:16">
      <c r="P311" s="1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829"/>
  <sheetViews>
    <sheetView topLeftCell="G1" workbookViewId="0">
      <selection activeCell="N29" sqref="N29"/>
    </sheetView>
  </sheetViews>
  <sheetFormatPr defaultRowHeight="12.75"/>
  <cols>
    <col min="1" max="1" width="19.7109375" style="24" customWidth="1"/>
    <col min="2" max="2" width="4.42578125" style="31" customWidth="1"/>
    <col min="3" max="3" width="12.7109375" style="24" customWidth="1"/>
    <col min="4" max="4" width="5.42578125" style="31" customWidth="1"/>
    <col min="5" max="5" width="14.85546875" style="31" customWidth="1"/>
    <col min="6" max="6" width="9.140625" style="31"/>
    <col min="7" max="7" width="12" style="31" customWidth="1"/>
    <col min="8" max="8" width="14.140625" style="24" customWidth="1"/>
    <col min="9" max="9" width="22.5703125" style="31" customWidth="1"/>
    <col min="10" max="10" width="25.140625" style="31" customWidth="1"/>
    <col min="11" max="11" width="15.7109375" style="31" customWidth="1"/>
    <col min="12" max="12" width="14.140625" style="31" customWidth="1"/>
    <col min="13" max="13" width="9.5703125" style="31" customWidth="1"/>
    <col min="14" max="14" width="14.140625" style="31" customWidth="1"/>
    <col min="15" max="15" width="23.42578125" style="31" customWidth="1"/>
    <col min="16" max="16" width="16.5703125" style="31" customWidth="1"/>
    <col min="17" max="17" width="41" style="31" customWidth="1"/>
    <col min="18" max="16384" width="9.140625" style="31"/>
  </cols>
  <sheetData>
    <row r="1" spans="1:16" ht="15.75">
      <c r="A1" s="68" t="s">
        <v>67</v>
      </c>
      <c r="I1" s="69" t="s">
        <v>68</v>
      </c>
      <c r="J1" s="70" t="s">
        <v>69</v>
      </c>
    </row>
    <row r="2" spans="1:16">
      <c r="I2" s="71" t="s">
        <v>70</v>
      </c>
      <c r="J2" s="72" t="s">
        <v>71</v>
      </c>
    </row>
    <row r="3" spans="1:16">
      <c r="A3" s="73" t="s">
        <v>72</v>
      </c>
      <c r="I3" s="71" t="s">
        <v>73</v>
      </c>
      <c r="J3" s="72" t="s">
        <v>74</v>
      </c>
    </row>
    <row r="4" spans="1:16">
      <c r="I4" s="71" t="s">
        <v>75</v>
      </c>
      <c r="J4" s="72" t="s">
        <v>74</v>
      </c>
    </row>
    <row r="5" spans="1:16" ht="13.5" thickBot="1">
      <c r="I5" s="74" t="s">
        <v>76</v>
      </c>
      <c r="J5" s="75" t="s">
        <v>77</v>
      </c>
    </row>
    <row r="10" spans="1:16" ht="13.5" thickBot="1"/>
    <row r="11" spans="1:16" ht="12.75" customHeight="1" thickBot="1">
      <c r="A11" s="24" t="str">
        <f t="shared" ref="A11:A30" si="0">P11</f>
        <v> AN 240.328 </v>
      </c>
      <c r="B11" s="5" t="str">
        <f t="shared" ref="B11:B30" si="1">IF(H11=INT(H11),"I","II")</f>
        <v>I</v>
      </c>
      <c r="C11" s="24">
        <f t="shared" ref="C11:C30" si="2">1*G11</f>
        <v>24610.29</v>
      </c>
      <c r="D11" s="31" t="str">
        <f t="shared" ref="D11:D30" si="3">VLOOKUP(F11,I$1:J$5,2,FALSE)</f>
        <v>vis</v>
      </c>
      <c r="E11" s="76">
        <f>VLOOKUP(C11,Active!C$21:E$973,3,FALSE)</f>
        <v>-1941.1728166809551</v>
      </c>
      <c r="F11" s="5" t="s">
        <v>76</v>
      </c>
      <c r="G11" s="31" t="str">
        <f t="shared" ref="G11:G30" si="4">MID(I11,3,LEN(I11)-3)</f>
        <v>24610.29</v>
      </c>
      <c r="H11" s="24">
        <f t="shared" ref="H11:H30" si="5">1*K11</f>
        <v>-8797</v>
      </c>
      <c r="I11" s="77" t="s">
        <v>78</v>
      </c>
      <c r="J11" s="78" t="s">
        <v>79</v>
      </c>
      <c r="K11" s="77">
        <v>-8797</v>
      </c>
      <c r="L11" s="77" t="s">
        <v>80</v>
      </c>
      <c r="M11" s="78" t="s">
        <v>81</v>
      </c>
      <c r="N11" s="78"/>
      <c r="O11" s="79" t="s">
        <v>82</v>
      </c>
      <c r="P11" s="79" t="s">
        <v>83</v>
      </c>
    </row>
    <row r="12" spans="1:16" ht="12.75" customHeight="1" thickBot="1">
      <c r="A12" s="24" t="str">
        <f t="shared" si="0"/>
        <v> AN 240.328 </v>
      </c>
      <c r="B12" s="5" t="str">
        <f t="shared" si="1"/>
        <v>I</v>
      </c>
      <c r="C12" s="24">
        <f t="shared" si="2"/>
        <v>24614.3</v>
      </c>
      <c r="D12" s="31" t="str">
        <f t="shared" si="3"/>
        <v>vis</v>
      </c>
      <c r="E12" s="76">
        <f>VLOOKUP(C12,Active!C$21:E$973,3,FALSE)</f>
        <v>-1939.9978786655283</v>
      </c>
      <c r="F12" s="5" t="s">
        <v>76</v>
      </c>
      <c r="G12" s="31" t="str">
        <f t="shared" si="4"/>
        <v>24614.30</v>
      </c>
      <c r="H12" s="24">
        <f t="shared" si="5"/>
        <v>-8796</v>
      </c>
      <c r="I12" s="77" t="s">
        <v>84</v>
      </c>
      <c r="J12" s="78" t="s">
        <v>85</v>
      </c>
      <c r="K12" s="77">
        <v>-8796</v>
      </c>
      <c r="L12" s="77" t="s">
        <v>86</v>
      </c>
      <c r="M12" s="78" t="s">
        <v>81</v>
      </c>
      <c r="N12" s="78"/>
      <c r="O12" s="79" t="s">
        <v>82</v>
      </c>
      <c r="P12" s="79" t="s">
        <v>83</v>
      </c>
    </row>
    <row r="13" spans="1:16" ht="12.75" customHeight="1" thickBot="1">
      <c r="A13" s="24" t="str">
        <f t="shared" si="0"/>
        <v> AN 240.328 </v>
      </c>
      <c r="B13" s="5" t="str">
        <f t="shared" si="1"/>
        <v>II</v>
      </c>
      <c r="C13" s="24">
        <f t="shared" si="2"/>
        <v>24615.48</v>
      </c>
      <c r="D13" s="31" t="str">
        <f t="shared" si="3"/>
        <v>vis</v>
      </c>
      <c r="E13" s="76">
        <f>VLOOKUP(C13,Active!C$21:E$973,3,FALSE)</f>
        <v>-1939.6521363068739</v>
      </c>
      <c r="F13" s="5" t="s">
        <v>76</v>
      </c>
      <c r="G13" s="31" t="str">
        <f t="shared" si="4"/>
        <v>24615.48</v>
      </c>
      <c r="H13" s="24">
        <f t="shared" si="5"/>
        <v>-8795.5</v>
      </c>
      <c r="I13" s="77" t="s">
        <v>87</v>
      </c>
      <c r="J13" s="78" t="s">
        <v>88</v>
      </c>
      <c r="K13" s="77">
        <v>-8795.5</v>
      </c>
      <c r="L13" s="77" t="s">
        <v>89</v>
      </c>
      <c r="M13" s="78" t="s">
        <v>81</v>
      </c>
      <c r="N13" s="78"/>
      <c r="O13" s="79" t="s">
        <v>82</v>
      </c>
      <c r="P13" s="79" t="s">
        <v>83</v>
      </c>
    </row>
    <row r="14" spans="1:16" ht="12.75" customHeight="1" thickBot="1">
      <c r="A14" s="24" t="str">
        <f t="shared" si="0"/>
        <v>  </v>
      </c>
      <c r="B14" s="5" t="str">
        <f t="shared" si="1"/>
        <v>I</v>
      </c>
      <c r="C14" s="24">
        <f t="shared" si="2"/>
        <v>24624.54</v>
      </c>
      <c r="D14" s="31" t="str">
        <f t="shared" si="3"/>
        <v>vis</v>
      </c>
      <c r="E14" s="76">
        <f>VLOOKUP(C14,Active!C$21:E$973,3,FALSE)</f>
        <v>-1936.9975381972054</v>
      </c>
      <c r="F14" s="5" t="s">
        <v>76</v>
      </c>
      <c r="G14" s="31" t="str">
        <f t="shared" si="4"/>
        <v>24624.54</v>
      </c>
      <c r="H14" s="24">
        <f t="shared" si="5"/>
        <v>-8793</v>
      </c>
      <c r="I14" s="77" t="s">
        <v>90</v>
      </c>
      <c r="J14" s="78" t="s">
        <v>91</v>
      </c>
      <c r="K14" s="77">
        <v>-8793</v>
      </c>
      <c r="L14" s="77" t="s">
        <v>86</v>
      </c>
      <c r="M14" s="78" t="s">
        <v>81</v>
      </c>
      <c r="N14" s="78"/>
      <c r="O14" s="79" t="s">
        <v>92</v>
      </c>
      <c r="P14" s="79" t="s">
        <v>93</v>
      </c>
    </row>
    <row r="15" spans="1:16" ht="12.75" customHeight="1" thickBot="1">
      <c r="A15" s="24" t="str">
        <f t="shared" si="0"/>
        <v> IODE 4.1.128 </v>
      </c>
      <c r="B15" s="5" t="str">
        <f t="shared" si="1"/>
        <v>I</v>
      </c>
      <c r="C15" s="24">
        <f t="shared" si="2"/>
        <v>25003.39</v>
      </c>
      <c r="D15" s="31" t="str">
        <f t="shared" si="3"/>
        <v>vis</v>
      </c>
      <c r="E15" s="76">
        <f>VLOOKUP(C15,Active!C$21:E$973,3,FALSE)</f>
        <v>-1825.9937309292325</v>
      </c>
      <c r="F15" s="5" t="s">
        <v>76</v>
      </c>
      <c r="G15" s="31" t="str">
        <f t="shared" si="4"/>
        <v>25003.39</v>
      </c>
      <c r="H15" s="24">
        <f t="shared" si="5"/>
        <v>-8682</v>
      </c>
      <c r="I15" s="77" t="s">
        <v>94</v>
      </c>
      <c r="J15" s="78" t="s">
        <v>95</v>
      </c>
      <c r="K15" s="77">
        <v>-8682</v>
      </c>
      <c r="L15" s="77" t="s">
        <v>96</v>
      </c>
      <c r="M15" s="78" t="s">
        <v>97</v>
      </c>
      <c r="N15" s="78"/>
      <c r="O15" s="79" t="s">
        <v>98</v>
      </c>
      <c r="P15" s="79" t="s">
        <v>99</v>
      </c>
    </row>
    <row r="16" spans="1:16" ht="12.75" customHeight="1" thickBot="1">
      <c r="A16" s="24" t="str">
        <f t="shared" si="0"/>
        <v> IODE 4.1.128 </v>
      </c>
      <c r="B16" s="5" t="str">
        <f t="shared" si="1"/>
        <v>I</v>
      </c>
      <c r="C16" s="24">
        <f t="shared" si="2"/>
        <v>31300.244999999999</v>
      </c>
      <c r="D16" s="31" t="str">
        <f t="shared" si="3"/>
        <v>vis</v>
      </c>
      <c r="E16" s="76">
        <f>VLOOKUP(C16,Active!C$21:E$973,3,FALSE)</f>
        <v>18.997370600062098</v>
      </c>
      <c r="F16" s="5" t="s">
        <v>76</v>
      </c>
      <c r="G16" s="31" t="str">
        <f t="shared" si="4"/>
        <v>31300.245</v>
      </c>
      <c r="H16" s="24">
        <f t="shared" si="5"/>
        <v>-6837</v>
      </c>
      <c r="I16" s="77" t="s">
        <v>103</v>
      </c>
      <c r="J16" s="78" t="s">
        <v>104</v>
      </c>
      <c r="K16" s="77">
        <v>-6837</v>
      </c>
      <c r="L16" s="77" t="s">
        <v>105</v>
      </c>
      <c r="M16" s="78" t="s">
        <v>97</v>
      </c>
      <c r="N16" s="78"/>
      <c r="O16" s="79" t="s">
        <v>98</v>
      </c>
      <c r="P16" s="79" t="s">
        <v>99</v>
      </c>
    </row>
    <row r="17" spans="1:16" ht="12.75" customHeight="1" thickBot="1">
      <c r="A17" s="24" t="str">
        <f t="shared" si="0"/>
        <v> IODE 4.1.128 </v>
      </c>
      <c r="B17" s="5" t="str">
        <f t="shared" si="1"/>
        <v>I</v>
      </c>
      <c r="C17" s="24">
        <f t="shared" si="2"/>
        <v>31590.37</v>
      </c>
      <c r="D17" s="31" t="str">
        <f t="shared" si="3"/>
        <v>vis</v>
      </c>
      <c r="E17" s="76">
        <f>VLOOKUP(C17,Active!C$21:E$973,3,FALSE)</f>
        <v>104.00457551921406</v>
      </c>
      <c r="F17" s="5" t="s">
        <v>76</v>
      </c>
      <c r="G17" s="31" t="str">
        <f t="shared" si="4"/>
        <v>31590.37</v>
      </c>
      <c r="H17" s="24">
        <f t="shared" si="5"/>
        <v>-6752</v>
      </c>
      <c r="I17" s="77" t="s">
        <v>106</v>
      </c>
      <c r="J17" s="78" t="s">
        <v>107</v>
      </c>
      <c r="K17" s="77">
        <v>-6752</v>
      </c>
      <c r="L17" s="77" t="s">
        <v>108</v>
      </c>
      <c r="M17" s="78" t="s">
        <v>97</v>
      </c>
      <c r="N17" s="78"/>
      <c r="O17" s="79" t="s">
        <v>98</v>
      </c>
      <c r="P17" s="79" t="s">
        <v>99</v>
      </c>
    </row>
    <row r="18" spans="1:16" ht="12.75" customHeight="1" thickBot="1">
      <c r="A18" s="24" t="str">
        <f t="shared" si="0"/>
        <v> IODE 4.1.128 </v>
      </c>
      <c r="B18" s="5" t="str">
        <f t="shared" si="1"/>
        <v>I</v>
      </c>
      <c r="C18" s="24">
        <f t="shared" si="2"/>
        <v>31607.42</v>
      </c>
      <c r="D18" s="31" t="str">
        <f t="shared" si="3"/>
        <v>vis</v>
      </c>
      <c r="E18" s="76">
        <f>VLOOKUP(C18,Active!C$21:E$973,3,FALSE)</f>
        <v>109.00025959977064</v>
      </c>
      <c r="F18" s="5" t="s">
        <v>76</v>
      </c>
      <c r="G18" s="31" t="str">
        <f t="shared" si="4"/>
        <v>31607.42</v>
      </c>
      <c r="H18" s="24">
        <f t="shared" si="5"/>
        <v>-6747</v>
      </c>
      <c r="I18" s="77" t="s">
        <v>109</v>
      </c>
      <c r="J18" s="78" t="s">
        <v>110</v>
      </c>
      <c r="K18" s="77">
        <v>-6747</v>
      </c>
      <c r="L18" s="77" t="s">
        <v>111</v>
      </c>
      <c r="M18" s="78" t="s">
        <v>97</v>
      </c>
      <c r="N18" s="78"/>
      <c r="O18" s="79" t="s">
        <v>98</v>
      </c>
      <c r="P18" s="79" t="s">
        <v>99</v>
      </c>
    </row>
    <row r="19" spans="1:16" ht="12.75" customHeight="1" thickBot="1">
      <c r="A19" s="24" t="str">
        <f t="shared" si="0"/>
        <v>IBVS 5577 </v>
      </c>
      <c r="B19" s="5" t="str">
        <f t="shared" si="1"/>
        <v>I</v>
      </c>
      <c r="C19" s="24">
        <f t="shared" si="2"/>
        <v>53104.769099999998</v>
      </c>
      <c r="D19" s="31" t="str">
        <f t="shared" si="3"/>
        <v>vis</v>
      </c>
      <c r="E19" s="76">
        <f>VLOOKUP(C19,Active!C$21:E$973,3,FALSE)</f>
        <v>6407.766516083173</v>
      </c>
      <c r="F19" s="5" t="s">
        <v>76</v>
      </c>
      <c r="G19" s="31" t="str">
        <f t="shared" si="4"/>
        <v>53104.7691</v>
      </c>
      <c r="H19" s="24">
        <f t="shared" si="5"/>
        <v>-448</v>
      </c>
      <c r="I19" s="77" t="s">
        <v>112</v>
      </c>
      <c r="J19" s="78" t="s">
        <v>113</v>
      </c>
      <c r="K19" s="77">
        <v>-448</v>
      </c>
      <c r="L19" s="77" t="s">
        <v>114</v>
      </c>
      <c r="M19" s="78" t="s">
        <v>115</v>
      </c>
      <c r="N19" s="78" t="s">
        <v>116</v>
      </c>
      <c r="O19" s="79" t="s">
        <v>117</v>
      </c>
      <c r="P19" s="80" t="s">
        <v>118</v>
      </c>
    </row>
    <row r="20" spans="1:16" ht="12.75" customHeight="1" thickBot="1">
      <c r="A20" s="24" t="str">
        <f t="shared" si="0"/>
        <v>IBVS 5592 </v>
      </c>
      <c r="B20" s="5" t="str">
        <f t="shared" si="1"/>
        <v>I</v>
      </c>
      <c r="C20" s="24">
        <f t="shared" si="2"/>
        <v>53125.249100000001</v>
      </c>
      <c r="D20" s="31" t="str">
        <f t="shared" si="3"/>
        <v>vis</v>
      </c>
      <c r="E20" s="76">
        <f>VLOOKUP(C20,Active!C$21:E$973,3,FALSE)</f>
        <v>6413.7671970198189</v>
      </c>
      <c r="F20" s="5" t="s">
        <v>76</v>
      </c>
      <c r="G20" s="31" t="str">
        <f t="shared" si="4"/>
        <v>53125.2491</v>
      </c>
      <c r="H20" s="24">
        <f t="shared" si="5"/>
        <v>-442</v>
      </c>
      <c r="I20" s="77" t="s">
        <v>119</v>
      </c>
      <c r="J20" s="78" t="s">
        <v>120</v>
      </c>
      <c r="K20" s="77">
        <v>-442</v>
      </c>
      <c r="L20" s="77" t="s">
        <v>121</v>
      </c>
      <c r="M20" s="78" t="s">
        <v>115</v>
      </c>
      <c r="N20" s="78" t="s">
        <v>116</v>
      </c>
      <c r="O20" s="79" t="s">
        <v>122</v>
      </c>
      <c r="P20" s="80" t="s">
        <v>123</v>
      </c>
    </row>
    <row r="21" spans="1:16" ht="12.75" customHeight="1" thickBot="1">
      <c r="A21" s="24" t="str">
        <f t="shared" si="0"/>
        <v>IBVS 5592 </v>
      </c>
      <c r="B21" s="5" t="str">
        <f t="shared" si="1"/>
        <v>I</v>
      </c>
      <c r="C21" s="24">
        <f t="shared" si="2"/>
        <v>53159.3796</v>
      </c>
      <c r="D21" s="31" t="str">
        <f t="shared" si="3"/>
        <v>vis</v>
      </c>
      <c r="E21" s="76">
        <f>VLOOKUP(C21,Active!C$21:E$973,3,FALSE)</f>
        <v>6423.7675017418978</v>
      </c>
      <c r="F21" s="5" t="s">
        <v>76</v>
      </c>
      <c r="G21" s="31" t="str">
        <f t="shared" si="4"/>
        <v>53159.3796</v>
      </c>
      <c r="H21" s="24">
        <f t="shared" si="5"/>
        <v>-432</v>
      </c>
      <c r="I21" s="77" t="s">
        <v>124</v>
      </c>
      <c r="J21" s="78" t="s">
        <v>125</v>
      </c>
      <c r="K21" s="77">
        <v>-432</v>
      </c>
      <c r="L21" s="77" t="s">
        <v>126</v>
      </c>
      <c r="M21" s="78" t="s">
        <v>115</v>
      </c>
      <c r="N21" s="78" t="s">
        <v>116</v>
      </c>
      <c r="O21" s="79" t="s">
        <v>122</v>
      </c>
      <c r="P21" s="80" t="s">
        <v>123</v>
      </c>
    </row>
    <row r="22" spans="1:16" ht="12.75" customHeight="1" thickBot="1">
      <c r="A22" s="24" t="str">
        <f t="shared" si="0"/>
        <v>IBVS 5837 </v>
      </c>
      <c r="B22" s="5" t="str">
        <f t="shared" si="1"/>
        <v>I</v>
      </c>
      <c r="C22" s="24">
        <f t="shared" si="2"/>
        <v>54633.698499999999</v>
      </c>
      <c r="D22" s="31" t="str">
        <f t="shared" si="3"/>
        <v>vis</v>
      </c>
      <c r="E22" s="76">
        <f>VLOOKUP(C22,Active!C$21:E$973,3,FALSE)</f>
        <v>6855.7458863984375</v>
      </c>
      <c r="F22" s="5" t="s">
        <v>76</v>
      </c>
      <c r="G22" s="31" t="str">
        <f t="shared" si="4"/>
        <v>54633.6985</v>
      </c>
      <c r="H22" s="24">
        <f t="shared" si="5"/>
        <v>0</v>
      </c>
      <c r="I22" s="77" t="s">
        <v>127</v>
      </c>
      <c r="J22" s="78" t="s">
        <v>128</v>
      </c>
      <c r="K22" s="77">
        <v>0</v>
      </c>
      <c r="L22" s="77" t="s">
        <v>129</v>
      </c>
      <c r="M22" s="78" t="s">
        <v>130</v>
      </c>
      <c r="N22" s="78" t="s">
        <v>76</v>
      </c>
      <c r="O22" s="79" t="s">
        <v>131</v>
      </c>
      <c r="P22" s="80" t="s">
        <v>132</v>
      </c>
    </row>
    <row r="23" spans="1:16" ht="12.75" customHeight="1" thickBot="1">
      <c r="A23" s="24" t="str">
        <f t="shared" si="0"/>
        <v>OEJV 0137 </v>
      </c>
      <c r="B23" s="5" t="str">
        <f t="shared" si="1"/>
        <v>I</v>
      </c>
      <c r="C23" s="24">
        <f t="shared" si="2"/>
        <v>55599.536899999999</v>
      </c>
      <c r="D23" s="31" t="str">
        <f t="shared" si="3"/>
        <v>vis</v>
      </c>
      <c r="E23" s="76">
        <f>VLOOKUP(C23,Active!C$21:E$973,3,FALSE)</f>
        <v>7138.7384681738304</v>
      </c>
      <c r="F23" s="5" t="s">
        <v>76</v>
      </c>
      <c r="G23" s="31" t="str">
        <f t="shared" si="4"/>
        <v>55599.5369</v>
      </c>
      <c r="H23" s="24">
        <f t="shared" si="5"/>
        <v>283</v>
      </c>
      <c r="I23" s="77" t="s">
        <v>133</v>
      </c>
      <c r="J23" s="78" t="s">
        <v>134</v>
      </c>
      <c r="K23" s="77">
        <v>283</v>
      </c>
      <c r="L23" s="77" t="s">
        <v>135</v>
      </c>
      <c r="M23" s="78" t="s">
        <v>130</v>
      </c>
      <c r="N23" s="78" t="s">
        <v>76</v>
      </c>
      <c r="O23" s="79" t="s">
        <v>136</v>
      </c>
      <c r="P23" s="80" t="s">
        <v>137</v>
      </c>
    </row>
    <row r="24" spans="1:16" ht="12.75" customHeight="1" thickBot="1">
      <c r="A24" s="24" t="str">
        <f t="shared" si="0"/>
        <v>OEJV 0137 </v>
      </c>
      <c r="B24" s="5" t="str">
        <f t="shared" si="1"/>
        <v>I</v>
      </c>
      <c r="C24" s="24">
        <f t="shared" si="2"/>
        <v>55599.541599999997</v>
      </c>
      <c r="D24" s="31" t="str">
        <f t="shared" si="3"/>
        <v>vis</v>
      </c>
      <c r="E24" s="76">
        <f>VLOOKUP(C24,Active!C$21:E$973,3,FALSE)</f>
        <v>7138.739845283224</v>
      </c>
      <c r="F24" s="5" t="s">
        <v>76</v>
      </c>
      <c r="G24" s="31" t="str">
        <f t="shared" si="4"/>
        <v>55599.5416</v>
      </c>
      <c r="H24" s="24">
        <f t="shared" si="5"/>
        <v>283</v>
      </c>
      <c r="I24" s="77" t="s">
        <v>138</v>
      </c>
      <c r="J24" s="78" t="s">
        <v>139</v>
      </c>
      <c r="K24" s="77">
        <v>283</v>
      </c>
      <c r="L24" s="77" t="s">
        <v>140</v>
      </c>
      <c r="M24" s="78" t="s">
        <v>130</v>
      </c>
      <c r="N24" s="78" t="s">
        <v>141</v>
      </c>
      <c r="O24" s="79" t="s">
        <v>136</v>
      </c>
      <c r="P24" s="80" t="s">
        <v>137</v>
      </c>
    </row>
    <row r="25" spans="1:16" ht="12.75" customHeight="1" thickBot="1">
      <c r="A25" s="24" t="str">
        <f t="shared" si="0"/>
        <v>OEJV 0137 </v>
      </c>
      <c r="B25" s="5" t="str">
        <f t="shared" si="1"/>
        <v>I</v>
      </c>
      <c r="C25" s="24">
        <f t="shared" si="2"/>
        <v>55599.544099999999</v>
      </c>
      <c r="D25" s="31" t="str">
        <f t="shared" si="3"/>
        <v>vis</v>
      </c>
      <c r="E25" s="76">
        <f>VLOOKUP(C25,Active!C$21:E$973,3,FALSE)</f>
        <v>7138.7405777882223</v>
      </c>
      <c r="F25" s="5" t="s">
        <v>76</v>
      </c>
      <c r="G25" s="31" t="str">
        <f t="shared" si="4"/>
        <v>55599.5441</v>
      </c>
      <c r="H25" s="24">
        <f t="shared" si="5"/>
        <v>283</v>
      </c>
      <c r="I25" s="77" t="s">
        <v>142</v>
      </c>
      <c r="J25" s="78" t="s">
        <v>143</v>
      </c>
      <c r="K25" s="77">
        <v>283</v>
      </c>
      <c r="L25" s="77" t="s">
        <v>144</v>
      </c>
      <c r="M25" s="78" t="s">
        <v>130</v>
      </c>
      <c r="N25" s="78" t="s">
        <v>49</v>
      </c>
      <c r="O25" s="79" t="s">
        <v>136</v>
      </c>
      <c r="P25" s="80" t="s">
        <v>137</v>
      </c>
    </row>
    <row r="26" spans="1:16" ht="12.75" customHeight="1" thickBot="1">
      <c r="A26" s="24" t="str">
        <f t="shared" si="0"/>
        <v>IBVS 5992 </v>
      </c>
      <c r="B26" s="5" t="str">
        <f t="shared" si="1"/>
        <v>I</v>
      </c>
      <c r="C26" s="24">
        <f t="shared" si="2"/>
        <v>55643.911500000002</v>
      </c>
      <c r="D26" s="31" t="str">
        <f t="shared" si="3"/>
        <v>vis</v>
      </c>
      <c r="E26" s="76">
        <f>VLOOKUP(C26,Active!C$21:E$973,3,FALSE)</f>
        <v>7151.7403146724282</v>
      </c>
      <c r="F26" s="5" t="s">
        <v>76</v>
      </c>
      <c r="G26" s="31" t="str">
        <f t="shared" si="4"/>
        <v>55643.9115</v>
      </c>
      <c r="H26" s="24">
        <f t="shared" si="5"/>
        <v>296</v>
      </c>
      <c r="I26" s="77" t="s">
        <v>145</v>
      </c>
      <c r="J26" s="78" t="s">
        <v>146</v>
      </c>
      <c r="K26" s="77">
        <v>296</v>
      </c>
      <c r="L26" s="77" t="s">
        <v>147</v>
      </c>
      <c r="M26" s="78" t="s">
        <v>130</v>
      </c>
      <c r="N26" s="78" t="s">
        <v>76</v>
      </c>
      <c r="O26" s="79" t="s">
        <v>131</v>
      </c>
      <c r="P26" s="80" t="s">
        <v>148</v>
      </c>
    </row>
    <row r="27" spans="1:16" ht="12.75" customHeight="1" thickBot="1">
      <c r="A27" s="24" t="str">
        <f t="shared" si="0"/>
        <v>BAVM 220 </v>
      </c>
      <c r="B27" s="5" t="str">
        <f t="shared" si="1"/>
        <v>I</v>
      </c>
      <c r="C27" s="24">
        <f t="shared" si="2"/>
        <v>55681.448299999996</v>
      </c>
      <c r="D27" s="31" t="str">
        <f t="shared" si="3"/>
        <v>vis</v>
      </c>
      <c r="E27" s="76">
        <f>VLOOKUP(C27,Active!C$21:E$973,3,FALSE)</f>
        <v>7162.7386721032208</v>
      </c>
      <c r="F27" s="5" t="s">
        <v>76</v>
      </c>
      <c r="G27" s="31" t="str">
        <f t="shared" si="4"/>
        <v>55681.4483</v>
      </c>
      <c r="H27" s="24">
        <f t="shared" si="5"/>
        <v>307</v>
      </c>
      <c r="I27" s="77" t="s">
        <v>149</v>
      </c>
      <c r="J27" s="78" t="s">
        <v>150</v>
      </c>
      <c r="K27" s="77">
        <v>307</v>
      </c>
      <c r="L27" s="77" t="s">
        <v>151</v>
      </c>
      <c r="M27" s="78" t="s">
        <v>130</v>
      </c>
      <c r="N27" s="78">
        <f ca="1">-N$27:N$65536</f>
        <v>0</v>
      </c>
      <c r="O27" s="79" t="s">
        <v>152</v>
      </c>
      <c r="P27" s="80" t="s">
        <v>153</v>
      </c>
    </row>
    <row r="28" spans="1:16" ht="12.75" customHeight="1" thickBot="1">
      <c r="A28" s="24" t="str">
        <f t="shared" si="0"/>
        <v>IBVS 6029 </v>
      </c>
      <c r="B28" s="5" t="str">
        <f t="shared" si="1"/>
        <v>I</v>
      </c>
      <c r="C28" s="24">
        <f t="shared" si="2"/>
        <v>56015.911099999998</v>
      </c>
      <c r="D28" s="31" t="str">
        <f t="shared" si="3"/>
        <v>vis</v>
      </c>
      <c r="E28" s="76">
        <f>VLOOKUP(C28,Active!C$21:E$973,3,FALSE)</f>
        <v>7260.7369410474121</v>
      </c>
      <c r="F28" s="5" t="s">
        <v>76</v>
      </c>
      <c r="G28" s="31" t="str">
        <f t="shared" si="4"/>
        <v>56015.9111</v>
      </c>
      <c r="H28" s="24">
        <f t="shared" si="5"/>
        <v>405</v>
      </c>
      <c r="I28" s="77" t="s">
        <v>154</v>
      </c>
      <c r="J28" s="78" t="s">
        <v>155</v>
      </c>
      <c r="K28" s="77">
        <v>405</v>
      </c>
      <c r="L28" s="77" t="s">
        <v>156</v>
      </c>
      <c r="M28" s="78" t="s">
        <v>130</v>
      </c>
      <c r="N28" s="78" t="s">
        <v>76</v>
      </c>
      <c r="O28" s="79" t="s">
        <v>131</v>
      </c>
      <c r="P28" s="80" t="s">
        <v>157</v>
      </c>
    </row>
    <row r="29" spans="1:16" ht="12.75" customHeight="1" thickBot="1">
      <c r="A29" s="24" t="str">
        <f t="shared" si="0"/>
        <v>BAVM 232 </v>
      </c>
      <c r="B29" s="5" t="str">
        <f t="shared" si="1"/>
        <v>I</v>
      </c>
      <c r="C29" s="24">
        <f t="shared" si="2"/>
        <v>56408.390899999999</v>
      </c>
      <c r="D29" s="31" t="str">
        <f t="shared" si="3"/>
        <v>vis</v>
      </c>
      <c r="E29" s="76">
        <f>VLOOKUP(C29,Active!C$21:E$973,3,FALSE)</f>
        <v>7375.7343069594426</v>
      </c>
      <c r="F29" s="5" t="s">
        <v>76</v>
      </c>
      <c r="G29" s="31" t="str">
        <f t="shared" si="4"/>
        <v>56408.3909</v>
      </c>
      <c r="H29" s="24">
        <f t="shared" si="5"/>
        <v>520</v>
      </c>
      <c r="I29" s="77" t="s">
        <v>158</v>
      </c>
      <c r="J29" s="78" t="s">
        <v>159</v>
      </c>
      <c r="K29" s="77">
        <v>520</v>
      </c>
      <c r="L29" s="77" t="s">
        <v>160</v>
      </c>
      <c r="M29" s="78" t="s">
        <v>130</v>
      </c>
      <c r="N29" s="78">
        <v>0</v>
      </c>
      <c r="O29" s="79" t="s">
        <v>152</v>
      </c>
      <c r="P29" s="80" t="s">
        <v>161</v>
      </c>
    </row>
    <row r="30" spans="1:16" ht="12.75" customHeight="1" thickBot="1">
      <c r="A30" s="24" t="str">
        <f t="shared" si="0"/>
        <v> IODE 4.1.128 </v>
      </c>
      <c r="B30" s="5" t="str">
        <f t="shared" si="1"/>
        <v>I</v>
      </c>
      <c r="C30" s="24">
        <f t="shared" si="2"/>
        <v>31235.395</v>
      </c>
      <c r="D30" s="31" t="str">
        <f t="shared" si="3"/>
        <v>vis</v>
      </c>
      <c r="E30" s="76">
        <f>VLOOKUP(C30,Active!C$21:E$973,3,FALSE)</f>
        <v>-3.8090259848853367E-3</v>
      </c>
      <c r="F30" s="5" t="s">
        <v>76</v>
      </c>
      <c r="G30" s="31" t="str">
        <f t="shared" si="4"/>
        <v>31235.395</v>
      </c>
      <c r="H30" s="24">
        <f t="shared" si="5"/>
        <v>-6856</v>
      </c>
      <c r="I30" s="77" t="s">
        <v>100</v>
      </c>
      <c r="J30" s="78" t="s">
        <v>101</v>
      </c>
      <c r="K30" s="77">
        <v>-6856</v>
      </c>
      <c r="L30" s="77" t="s">
        <v>102</v>
      </c>
      <c r="M30" s="78" t="s">
        <v>97</v>
      </c>
      <c r="N30" s="78"/>
      <c r="O30" s="79" t="s">
        <v>98</v>
      </c>
      <c r="P30" s="79" t="s">
        <v>99</v>
      </c>
    </row>
    <row r="31" spans="1:16">
      <c r="B31" s="5"/>
      <c r="E31" s="76"/>
      <c r="F31" s="5"/>
    </row>
    <row r="32" spans="1:16">
      <c r="B32" s="5"/>
      <c r="E32" s="76"/>
      <c r="F32" s="5"/>
    </row>
    <row r="33" spans="2:6">
      <c r="B33" s="5"/>
      <c r="E33" s="76"/>
      <c r="F33" s="5"/>
    </row>
    <row r="34" spans="2:6">
      <c r="B34" s="5"/>
      <c r="E34" s="76"/>
      <c r="F34" s="5"/>
    </row>
    <row r="35" spans="2:6">
      <c r="B35" s="5"/>
      <c r="E35" s="76"/>
      <c r="F35" s="5"/>
    </row>
    <row r="36" spans="2:6">
      <c r="B36" s="5"/>
      <c r="E36" s="76"/>
      <c r="F36" s="5"/>
    </row>
    <row r="37" spans="2:6">
      <c r="B37" s="5"/>
      <c r="E37" s="76"/>
      <c r="F37" s="5"/>
    </row>
    <row r="38" spans="2:6">
      <c r="B38" s="5"/>
      <c r="E38" s="76"/>
      <c r="F38" s="5"/>
    </row>
    <row r="39" spans="2:6">
      <c r="B39" s="5"/>
      <c r="E39" s="76"/>
      <c r="F39" s="5"/>
    </row>
    <row r="40" spans="2:6">
      <c r="B40" s="5"/>
      <c r="E40" s="76"/>
      <c r="F40" s="5"/>
    </row>
    <row r="41" spans="2:6">
      <c r="B41" s="5"/>
      <c r="E41" s="76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</sheetData>
  <phoneticPr fontId="8" type="noConversion"/>
  <hyperlinks>
    <hyperlink ref="A3" r:id="rId1"/>
    <hyperlink ref="P19" r:id="rId2" display="http://www.konkoly.hu/cgi-bin/IBVS?5577"/>
    <hyperlink ref="P20" r:id="rId3" display="http://www.konkoly.hu/cgi-bin/IBVS?5592"/>
    <hyperlink ref="P21" r:id="rId4" display="http://www.konkoly.hu/cgi-bin/IBVS?5592"/>
    <hyperlink ref="P22" r:id="rId5" display="http://www.konkoly.hu/cgi-bin/IBVS?5837"/>
    <hyperlink ref="P23" r:id="rId6" display="http://var.astro.cz/oejv/issues/oejv0137.pdf"/>
    <hyperlink ref="P24" r:id="rId7" display="http://var.astro.cz/oejv/issues/oejv0137.pdf"/>
    <hyperlink ref="P25" r:id="rId8" display="http://var.astro.cz/oejv/issues/oejv0137.pdf"/>
    <hyperlink ref="P26" r:id="rId9" display="http://www.konkoly.hu/cgi-bin/IBVS?5992"/>
    <hyperlink ref="P27" r:id="rId10" display="http://www.bav-astro.de/sfs/BAVM_link.php?BAVMnr=220"/>
    <hyperlink ref="P28" r:id="rId11" display="http://www.konkoly.hu/cgi-bin/IBVS?6029"/>
    <hyperlink ref="P29" r:id="rId12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2024-01-15T05:13:24Z</dcterms:modified>
</cp:coreProperties>
</file>