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ADE032E-354F-48C6-84DC-CF392FC6832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Active 2" sheetId="6" r:id="rId2"/>
    <sheet name="A (old)" sheetId="1" r:id="rId3"/>
    <sheet name="BAV" sheetId="5" r:id="rId4"/>
    <sheet name="A (old2)" sheetId="4" r:id="rId5"/>
  </sheets>
  <calcPr calcId="181029"/>
</workbook>
</file>

<file path=xl/calcChain.xml><?xml version="1.0" encoding="utf-8"?>
<calcChain xmlns="http://schemas.openxmlformats.org/spreadsheetml/2006/main">
  <c r="C17" i="2" l="1"/>
  <c r="E21" i="2"/>
  <c r="F21" i="2"/>
  <c r="G21" i="2"/>
  <c r="I21" i="2" s="1"/>
  <c r="E36" i="2"/>
  <c r="E26" i="5" s="1"/>
  <c r="C8" i="2"/>
  <c r="E38" i="2" s="1"/>
  <c r="F38" i="2" s="1"/>
  <c r="G38" i="2" s="1"/>
  <c r="K38" i="2" s="1"/>
  <c r="E41" i="2"/>
  <c r="F41" i="2" s="1"/>
  <c r="G41" i="2" s="1"/>
  <c r="K41" i="2" s="1"/>
  <c r="E39" i="2"/>
  <c r="F39" i="2" s="1"/>
  <c r="G39" i="2" s="1"/>
  <c r="K39" i="2" s="1"/>
  <c r="C7" i="6"/>
  <c r="C8" i="6"/>
  <c r="E28" i="6"/>
  <c r="F28" i="6"/>
  <c r="G28" i="6"/>
  <c r="I28" i="6"/>
  <c r="C9" i="6"/>
  <c r="D9" i="6"/>
  <c r="F16" i="6"/>
  <c r="F17" i="6" s="1"/>
  <c r="C18" i="6"/>
  <c r="C19" i="6"/>
  <c r="E21" i="6"/>
  <c r="F21" i="6"/>
  <c r="G21" i="6"/>
  <c r="I21" i="6"/>
  <c r="Q21" i="6"/>
  <c r="E22" i="6"/>
  <c r="F22" i="6"/>
  <c r="G22" i="6"/>
  <c r="I22" i="6"/>
  <c r="Q22" i="6"/>
  <c r="E23" i="6"/>
  <c r="F23" i="6"/>
  <c r="Q23" i="6"/>
  <c r="E24" i="6"/>
  <c r="F24" i="6"/>
  <c r="G24" i="6"/>
  <c r="I24" i="6"/>
  <c r="Q24" i="6"/>
  <c r="Q25" i="6"/>
  <c r="Q26" i="6"/>
  <c r="Q27" i="6"/>
  <c r="Q28" i="6"/>
  <c r="E29" i="6"/>
  <c r="F29" i="6"/>
  <c r="G29" i="6"/>
  <c r="I29" i="6"/>
  <c r="Q29" i="6"/>
  <c r="E30" i="6"/>
  <c r="F30" i="6"/>
  <c r="G30" i="6"/>
  <c r="I30" i="6"/>
  <c r="Q30" i="6"/>
  <c r="E31" i="6"/>
  <c r="F31" i="6"/>
  <c r="Q31" i="6"/>
  <c r="E32" i="6"/>
  <c r="F32" i="6"/>
  <c r="G32" i="6"/>
  <c r="I32" i="6"/>
  <c r="Q32" i="6"/>
  <c r="Q33" i="6"/>
  <c r="Q34" i="6"/>
  <c r="Q35" i="6"/>
  <c r="E36" i="6"/>
  <c r="F36" i="6"/>
  <c r="G36" i="6"/>
  <c r="I36" i="6"/>
  <c r="Q36" i="6"/>
  <c r="E37" i="6"/>
  <c r="F37" i="6"/>
  <c r="G37" i="6"/>
  <c r="I37" i="6"/>
  <c r="Q37" i="6"/>
  <c r="E38" i="6"/>
  <c r="F38" i="6"/>
  <c r="G38" i="6"/>
  <c r="K38" i="6"/>
  <c r="Q38" i="6"/>
  <c r="E39" i="6"/>
  <c r="F39" i="6"/>
  <c r="G39" i="6"/>
  <c r="K39" i="6"/>
  <c r="Q39" i="6"/>
  <c r="E40" i="6"/>
  <c r="F40" i="6"/>
  <c r="G40" i="6"/>
  <c r="K40" i="6"/>
  <c r="Q40" i="6"/>
  <c r="Q41" i="6"/>
  <c r="E42" i="6"/>
  <c r="F42" i="6"/>
  <c r="G42" i="6"/>
  <c r="J42" i="6"/>
  <c r="Q42" i="6"/>
  <c r="Q43" i="6"/>
  <c r="E44" i="6"/>
  <c r="F44" i="6"/>
  <c r="G44" i="6"/>
  <c r="J44" i="6"/>
  <c r="Q44" i="6"/>
  <c r="D9" i="2"/>
  <c r="C9" i="2"/>
  <c r="F16" i="2"/>
  <c r="Q21" i="2"/>
  <c r="Q22" i="2"/>
  <c r="Q23" i="2"/>
  <c r="Q24" i="2"/>
  <c r="Q25" i="2"/>
  <c r="Q27" i="2"/>
  <c r="Q28" i="2"/>
  <c r="Q29" i="2"/>
  <c r="Q30" i="2"/>
  <c r="Q31" i="2"/>
  <c r="Q32" i="2"/>
  <c r="Q33" i="2"/>
  <c r="Q34" i="2"/>
  <c r="Q35" i="2"/>
  <c r="Q36" i="2"/>
  <c r="Q37" i="2"/>
  <c r="Q42" i="2"/>
  <c r="Q43" i="2"/>
  <c r="Q44" i="2"/>
  <c r="G30" i="5"/>
  <c r="C30" i="5"/>
  <c r="G29" i="5"/>
  <c r="C29" i="5"/>
  <c r="G28" i="5"/>
  <c r="C28" i="5"/>
  <c r="G11" i="5"/>
  <c r="C11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E12" i="5"/>
  <c r="H30" i="5"/>
  <c r="B30" i="5"/>
  <c r="D30" i="5"/>
  <c r="A30" i="5"/>
  <c r="H29" i="5"/>
  <c r="B29" i="5"/>
  <c r="D29" i="5"/>
  <c r="A29" i="5"/>
  <c r="H28" i="5"/>
  <c r="B28" i="5"/>
  <c r="D28" i="5"/>
  <c r="A28" i="5"/>
  <c r="H11" i="5"/>
  <c r="B11" i="5"/>
  <c r="D11" i="5"/>
  <c r="A11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C7" i="4"/>
  <c r="E22" i="4"/>
  <c r="F22" i="4"/>
  <c r="G22" i="4"/>
  <c r="I22" i="4"/>
  <c r="C21" i="4"/>
  <c r="E23" i="4"/>
  <c r="F23" i="4"/>
  <c r="C18" i="4"/>
  <c r="C19" i="4"/>
  <c r="Q21" i="4"/>
  <c r="Q22" i="4"/>
  <c r="Q23" i="4"/>
  <c r="Q24" i="4"/>
  <c r="Q25" i="4"/>
  <c r="C18" i="2"/>
  <c r="C19" i="2"/>
  <c r="Q26" i="2"/>
  <c r="Q41" i="2"/>
  <c r="Q38" i="2"/>
  <c r="Q39" i="2"/>
  <c r="Q40" i="2"/>
  <c r="Q23" i="1"/>
  <c r="Q24" i="1"/>
  <c r="Q25" i="1"/>
  <c r="Q22" i="1"/>
  <c r="C21" i="1"/>
  <c r="C7" i="1"/>
  <c r="E21" i="1"/>
  <c r="F21" i="1"/>
  <c r="G21" i="1"/>
  <c r="C8" i="1"/>
  <c r="E25" i="1"/>
  <c r="F25" i="1"/>
  <c r="Q21" i="1"/>
  <c r="C19" i="1"/>
  <c r="C18" i="1"/>
  <c r="I21" i="1"/>
  <c r="E22" i="1"/>
  <c r="F22" i="1"/>
  <c r="G22" i="1"/>
  <c r="I22" i="1"/>
  <c r="E24" i="4"/>
  <c r="F24" i="4"/>
  <c r="G23" i="4"/>
  <c r="I23" i="4"/>
  <c r="E21" i="4"/>
  <c r="F21" i="4"/>
  <c r="G21" i="4"/>
  <c r="G25" i="1"/>
  <c r="I25" i="1"/>
  <c r="E24" i="1"/>
  <c r="F24" i="1"/>
  <c r="G24" i="1"/>
  <c r="I24" i="1"/>
  <c r="E23" i="1"/>
  <c r="F23" i="1"/>
  <c r="G23" i="1"/>
  <c r="E31" i="2"/>
  <c r="F31" i="2" s="1"/>
  <c r="G31" i="2" s="1"/>
  <c r="I31" i="2" s="1"/>
  <c r="E23" i="2"/>
  <c r="E14" i="5" s="1"/>
  <c r="E40" i="2"/>
  <c r="F40" i="2" s="1"/>
  <c r="G40" i="2" s="1"/>
  <c r="K40" i="2" s="1"/>
  <c r="E25" i="4"/>
  <c r="F25" i="4"/>
  <c r="G25" i="4"/>
  <c r="I25" i="4"/>
  <c r="G24" i="4"/>
  <c r="I24" i="4"/>
  <c r="E26" i="2"/>
  <c r="F26" i="2"/>
  <c r="G26" i="2" s="1"/>
  <c r="H26" i="2" s="1"/>
  <c r="I23" i="1"/>
  <c r="C11" i="1"/>
  <c r="C12" i="1"/>
  <c r="C16" i="1"/>
  <c r="D18" i="1"/>
  <c r="I21" i="4"/>
  <c r="C11" i="4"/>
  <c r="C12" i="4"/>
  <c r="C16" i="4"/>
  <c r="D18" i="4"/>
  <c r="O23" i="4"/>
  <c r="O21" i="4"/>
  <c r="O24" i="4"/>
  <c r="O22" i="4"/>
  <c r="O25" i="4"/>
  <c r="O24" i="1"/>
  <c r="O22" i="1"/>
  <c r="O21" i="1"/>
  <c r="O25" i="1"/>
  <c r="O23" i="1"/>
  <c r="G23" i="6"/>
  <c r="E34" i="6"/>
  <c r="F34" i="6"/>
  <c r="G34" i="6"/>
  <c r="I34" i="6"/>
  <c r="E26" i="6"/>
  <c r="F26" i="6"/>
  <c r="G26" i="6"/>
  <c r="H26" i="6"/>
  <c r="E43" i="6"/>
  <c r="F43" i="6"/>
  <c r="G43" i="6"/>
  <c r="J43" i="6"/>
  <c r="E35" i="6"/>
  <c r="F35" i="6"/>
  <c r="G35" i="6"/>
  <c r="I35" i="6"/>
  <c r="E27" i="6"/>
  <c r="F27" i="6"/>
  <c r="G27" i="6"/>
  <c r="I27" i="6"/>
  <c r="E42" i="2"/>
  <c r="E41" i="6"/>
  <c r="F41" i="6"/>
  <c r="G41" i="6"/>
  <c r="K41" i="6"/>
  <c r="E33" i="6"/>
  <c r="F33" i="6"/>
  <c r="G33" i="6"/>
  <c r="I33" i="6"/>
  <c r="G31" i="6"/>
  <c r="I31" i="6"/>
  <c r="E25" i="6"/>
  <c r="F25" i="6"/>
  <c r="G25" i="6"/>
  <c r="I25" i="6"/>
  <c r="E32" i="2"/>
  <c r="F32" i="2" s="1"/>
  <c r="G32" i="2" s="1"/>
  <c r="I32" i="2" s="1"/>
  <c r="F42" i="2"/>
  <c r="G42" i="2"/>
  <c r="J42" i="2"/>
  <c r="E28" i="5"/>
  <c r="I23" i="6"/>
  <c r="C11" i="6"/>
  <c r="C12" i="6"/>
  <c r="E11" i="5" l="1"/>
  <c r="E30" i="2"/>
  <c r="E44" i="2"/>
  <c r="E35" i="2"/>
  <c r="E29" i="2"/>
  <c r="E33" i="2"/>
  <c r="E22" i="2"/>
  <c r="E21" i="5"/>
  <c r="E22" i="5"/>
  <c r="E25" i="2"/>
  <c r="E43" i="2"/>
  <c r="E27" i="2"/>
  <c r="E34" i="2"/>
  <c r="E24" i="2"/>
  <c r="F36" i="2"/>
  <c r="G36" i="2" s="1"/>
  <c r="I36" i="2" s="1"/>
  <c r="F23" i="2"/>
  <c r="G23" i="2" s="1"/>
  <c r="I23" i="2" s="1"/>
  <c r="E37" i="2"/>
  <c r="E28" i="2"/>
  <c r="F17" i="2"/>
  <c r="C16" i="6"/>
  <c r="O30" i="6"/>
  <c r="O29" i="6"/>
  <c r="O23" i="6"/>
  <c r="O43" i="6"/>
  <c r="O26" i="6"/>
  <c r="O33" i="6"/>
  <c r="O38" i="6"/>
  <c r="O36" i="6"/>
  <c r="O40" i="6"/>
  <c r="O24" i="6"/>
  <c r="O41" i="6"/>
  <c r="O27" i="6"/>
  <c r="O34" i="6"/>
  <c r="O22" i="6"/>
  <c r="O31" i="6"/>
  <c r="O32" i="6"/>
  <c r="O37" i="6"/>
  <c r="O42" i="6"/>
  <c r="O39" i="6"/>
  <c r="O28" i="6"/>
  <c r="O21" i="6"/>
  <c r="O44" i="6"/>
  <c r="O25" i="6"/>
  <c r="O35" i="6"/>
  <c r="F18" i="6"/>
  <c r="F22" i="2" l="1"/>
  <c r="G22" i="2" s="1"/>
  <c r="E13" i="5"/>
  <c r="F24" i="2"/>
  <c r="G24" i="2" s="1"/>
  <c r="I24" i="2" s="1"/>
  <c r="E15" i="5"/>
  <c r="E24" i="5"/>
  <c r="F34" i="2"/>
  <c r="G34" i="2" s="1"/>
  <c r="I34" i="2" s="1"/>
  <c r="F29" i="2"/>
  <c r="G29" i="2" s="1"/>
  <c r="I29" i="2" s="1"/>
  <c r="E19" i="5"/>
  <c r="F33" i="2"/>
  <c r="G33" i="2" s="1"/>
  <c r="I33" i="2" s="1"/>
  <c r="E23" i="5"/>
  <c r="E17" i="5"/>
  <c r="F27" i="2"/>
  <c r="G27" i="2" s="1"/>
  <c r="I27" i="2" s="1"/>
  <c r="E25" i="5"/>
  <c r="F35" i="2"/>
  <c r="G35" i="2" s="1"/>
  <c r="I35" i="2" s="1"/>
  <c r="F43" i="2"/>
  <c r="G43" i="2" s="1"/>
  <c r="J43" i="2" s="1"/>
  <c r="E29" i="5"/>
  <c r="F44" i="2"/>
  <c r="G44" i="2" s="1"/>
  <c r="J44" i="2" s="1"/>
  <c r="E30" i="5"/>
  <c r="E18" i="5"/>
  <c r="F28" i="2"/>
  <c r="G28" i="2" s="1"/>
  <c r="I28" i="2" s="1"/>
  <c r="E16" i="5"/>
  <c r="F25" i="2"/>
  <c r="G25" i="2" s="1"/>
  <c r="I25" i="2" s="1"/>
  <c r="E20" i="5"/>
  <c r="F30" i="2"/>
  <c r="G30" i="2" s="1"/>
  <c r="I30" i="2" s="1"/>
  <c r="F37" i="2"/>
  <c r="G37" i="2" s="1"/>
  <c r="I37" i="2" s="1"/>
  <c r="E27" i="5"/>
  <c r="D18" i="6"/>
  <c r="F19" i="6"/>
  <c r="C11" i="2"/>
  <c r="C12" i="2"/>
  <c r="C16" i="2" l="1"/>
  <c r="O43" i="2"/>
  <c r="O41" i="2"/>
  <c r="O29" i="2"/>
  <c r="O26" i="2"/>
  <c r="O28" i="2"/>
  <c r="O23" i="2"/>
  <c r="O24" i="2"/>
  <c r="O39" i="2"/>
  <c r="O37" i="2"/>
  <c r="O21" i="2"/>
  <c r="O35" i="2"/>
  <c r="O22" i="2"/>
  <c r="O36" i="2"/>
  <c r="O25" i="2"/>
  <c r="O34" i="2"/>
  <c r="O27" i="2"/>
  <c r="O42" i="2"/>
  <c r="O33" i="2"/>
  <c r="O31" i="2"/>
  <c r="O38" i="2"/>
  <c r="O40" i="2"/>
  <c r="O44" i="2"/>
  <c r="O32" i="2"/>
  <c r="O30" i="2"/>
  <c r="I22" i="2"/>
  <c r="D18" i="2" l="1"/>
  <c r="F18" i="2"/>
  <c r="F19" i="2" s="1"/>
</calcChain>
</file>

<file path=xl/sharedStrings.xml><?xml version="1.0" encoding="utf-8"?>
<sst xmlns="http://schemas.openxmlformats.org/spreadsheetml/2006/main" count="482" uniqueCount="135">
  <si>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</si>
  <si>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</si>
  <si>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</si>
  <si>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</si>
  <si>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</si>
  <si>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</si>
  <si>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</si>
  <si>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</si>
  <si>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</si>
  <si>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</si>
  <si>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</si>
  <si>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</si>
  <si>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</si>
  <si>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</si>
  <si>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</si>
  <si>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</si>
  <si>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</si>
  <si>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</si>
  <si>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</si>
  <si>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</si>
  <si>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</si>
  <si>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</si>
  <si>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</si>
  <si>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</si>
  <si>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</si>
  <si>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</si>
  <si>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</si>
  <si>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</si>
  <si>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</si>
  <si>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 xml:space="preserve">EW/KW     </t>
  </si>
  <si>
    <t>I</t>
  </si>
  <si>
    <t>na</t>
  </si>
  <si>
    <t>Misc</t>
  </si>
  <si>
    <t>CR CMa</t>
  </si>
  <si>
    <t>IBVS 5603</t>
  </si>
  <si>
    <t>IBVS</t>
  </si>
  <si>
    <t>IBVS 5520</t>
  </si>
  <si>
    <t>II</t>
  </si>
  <si>
    <t>Samec (IBVS 5520)</t>
  </si>
  <si>
    <t>Samec probably depended on old inaccurate photographic data</t>
  </si>
  <si>
    <t>Poor fit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</si>
  <si>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</si>
  <si>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</si>
  <si>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</si>
  <si>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</si>
  <si>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</si>
  <si>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</si>
  <si>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</si>
  <si>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</si>
  <si>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</si>
  <si>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</si>
  <si>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</si>
  <si>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2427430.386 </t>
  </si>
  <si>
    <t> 23.12.1933 21:15 </t>
  </si>
  <si>
    <t> -0.016 </t>
  </si>
  <si>
    <t>P </t>
  </si>
  <si>
    <t> R.Deurinck </t>
  </si>
  <si>
    <t> PLOU 109.6 </t>
  </si>
  <si>
    <t>2427445.379 </t>
  </si>
  <si>
    <t> 07.01.1934 21:05 </t>
  </si>
  <si>
    <t> -0.002 </t>
  </si>
  <si>
    <t>2427560.213 </t>
  </si>
  <si>
    <t> 02.05.1934 17:06 </t>
  </si>
  <si>
    <t> -0.010 </t>
  </si>
  <si>
    <t>2427947.197 </t>
  </si>
  <si>
    <t> 24.05.1935 16:43 </t>
  </si>
  <si>
    <t> 0.006 </t>
  </si>
  <si>
    <t>2427957.193 </t>
  </si>
  <si>
    <t> 03.06.1935 16:37 </t>
  </si>
  <si>
    <t> 0.016 </t>
  </si>
  <si>
    <t>2428159.419 </t>
  </si>
  <si>
    <t> 22.12.1935 22:03 </t>
  </si>
  <si>
    <t> 0.020 </t>
  </si>
  <si>
    <t>2428184.357 </t>
  </si>
  <si>
    <t> 16.01.1936 20:34 </t>
  </si>
  <si>
    <t> -0.008 </t>
  </si>
  <si>
    <t>2428249.278 </t>
  </si>
  <si>
    <t> 21.03.1936 18:40 </t>
  </si>
  <si>
    <t> 0.002 </t>
  </si>
  <si>
    <t>2428254.277 </t>
  </si>
  <si>
    <t> 26.03.1936 18:38 </t>
  </si>
  <si>
    <t> 0.008 </t>
  </si>
  <si>
    <t>2428269.235 </t>
  </si>
  <si>
    <t> 10.04.1936 17:38 </t>
  </si>
  <si>
    <t> -0.013 </t>
  </si>
  <si>
    <t>2428274.246 </t>
  </si>
  <si>
    <t> 15.04.1936 17:54 </t>
  </si>
  <si>
    <t> 0.005 </t>
  </si>
  <si>
    <t>2428279.254 </t>
  </si>
  <si>
    <t> 20.04.1936 18:05 </t>
  </si>
  <si>
    <t>2428436.526 </t>
  </si>
  <si>
    <t> 25.09.1936 00:37 </t>
  </si>
  <si>
    <t>2428523.286 </t>
  </si>
  <si>
    <t> 20.12.1936 18:51 </t>
  </si>
  <si>
    <t> 0.012 </t>
  </si>
  <si>
    <t>2428601.269 </t>
  </si>
  <si>
    <t> 08.03.1937 18:27 </t>
  </si>
  <si>
    <t> -0.022 </t>
  </si>
  <si>
    <t>2428611.253 </t>
  </si>
  <si>
    <t> 18.03.1937 18:04 </t>
  </si>
  <si>
    <t> -0.025 </t>
  </si>
  <si>
    <t>2453017.698 </t>
  </si>
  <si>
    <t> 13.01.2004 04:45 </t>
  </si>
  <si>
    <t> -0.011 </t>
  </si>
  <si>
    <t>E </t>
  </si>
  <si>
    <t>?</t>
  </si>
  <si>
    <t> S.Dvorak </t>
  </si>
  <si>
    <t>IBVS 5603 </t>
  </si>
  <si>
    <t>2457062.6965 </t>
  </si>
  <si>
    <t> 09.02.2015 04:42 </t>
  </si>
  <si>
    <t> -0.0735 </t>
  </si>
  <si>
    <t>C </t>
  </si>
  <si>
    <t> W.Moschner &amp; P.Frank </t>
  </si>
  <si>
    <t>BAVM 241 (=IBVS 6157) </t>
  </si>
  <si>
    <t>2457112.943 </t>
  </si>
  <si>
    <t> 31.03.2015 10:37 </t>
  </si>
  <si>
    <t> -0.070 </t>
  </si>
  <si>
    <t>2457117.9359 </t>
  </si>
  <si>
    <t> 05.04.2015 10:27 </t>
  </si>
  <si>
    <t> -0.0707 </t>
  </si>
  <si>
    <t>IBVS 6157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</si>
  <si>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</si>
  <si>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</si>
  <si>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</si>
  <si>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</si>
  <si>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</si>
  <si>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</si>
  <si>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</si>
  <si>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</si>
  <si>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CR CMa / GSC 5973-1733</t>
  </si>
  <si>
    <t>VSX</t>
  </si>
  <si>
    <t>Flipped phases</t>
  </si>
  <si>
    <t># of data points</t>
  </si>
  <si>
    <t>Both files active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</si>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</sst>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9" fillId="2" borderId="13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11" fillId="0" borderId="0" xfId="0" applyFont="1">
      <alignment vertical="top"/>
    </xf>
    <xf numFmtId="0" fontId="2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22" fontId="13" fillId="0" borderId="0" xfId="0" applyNumberFormat="1" applyFont="1">
      <alignment vertical="top"/>
    </xf>
    <xf numFmtId="0" fontId="5" fillId="0" borderId="0" xfId="0" applyFont="1" applyAlignment="1"/>
    <xf numFmtId="0" fontId="23" fillId="0" borderId="0" xfId="0" applyFont="1" applyAlignment="1">
      <alignment horizontal="center"/>
    </xf>
    <xf numFmtId="0" fontId="6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CMa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583263062322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1'!$C$21:$C$1969</c:f>
                <c:numCache>
                  <c:formatCode>General</c:formatCode>
                  <c:ptCount val="1949"/>
                  <c:pt idx="0">
                    <c:v>27430.385999999999</c:v>
                  </c:pt>
                  <c:pt idx="1">
                    <c:v>27445.379000000001</c:v>
                  </c:pt>
                  <c:pt idx="2">
                    <c:v>27560.213</c:v>
                  </c:pt>
                  <c:pt idx="3">
                    <c:v>27947.197</c:v>
                  </c:pt>
                  <c:pt idx="4">
                    <c:v>27957.192999999999</c:v>
                  </c:pt>
                  <c:pt idx="5">
                    <c:v>28094.488000000001</c:v>
                  </c:pt>
                  <c:pt idx="6">
                    <c:v>28159.419000000002</c:v>
                  </c:pt>
                  <c:pt idx="7">
                    <c:v>28184.357</c:v>
                  </c:pt>
                  <c:pt idx="8">
                    <c:v>28249.277999999998</c:v>
                  </c:pt>
                  <c:pt idx="9">
                    <c:v>28254.276999999998</c:v>
                  </c:pt>
                  <c:pt idx="10">
                    <c:v>28269.235000000001</c:v>
                  </c:pt>
                  <c:pt idx="11">
                    <c:v>28274.245999999999</c:v>
                  </c:pt>
                  <c:pt idx="12">
                    <c:v>28279.254000000001</c:v>
                  </c:pt>
                  <c:pt idx="13">
                    <c:v>28436.526000000002</c:v>
                  </c:pt>
                  <c:pt idx="14">
                    <c:v>28523.286</c:v>
                  </c:pt>
                  <c:pt idx="15">
                    <c:v>28601.269</c:v>
                  </c:pt>
                  <c:pt idx="16">
                    <c:v>28611.253000000001</c:v>
                  </c:pt>
                  <c:pt idx="17">
                    <c:v>52635.734499999999</c:v>
                  </c:pt>
                  <c:pt idx="18">
                    <c:v>52639.790500000003</c:v>
                  </c:pt>
                  <c:pt idx="19">
                    <c:v>52641.663399999998</c:v>
                  </c:pt>
                  <c:pt idx="20">
                    <c:v>53017.697999999997</c:v>
                  </c:pt>
                  <c:pt idx="21">
                    <c:v>57062.696499999998</c:v>
                  </c:pt>
                  <c:pt idx="22">
                    <c:v>57112.942999999999</c:v>
                  </c:pt>
                  <c:pt idx="23">
                    <c:v>57117.935899999997</c:v>
                  </c:pt>
                </c:numCache>
              </c:numRef>
            </c:plus>
            <c:minus>
              <c:numRef>
                <c:f>'Active 1'!$C$21:$C$1969</c:f>
                <c:numCache>
                  <c:formatCode>General</c:formatCode>
                  <c:ptCount val="1949"/>
                  <c:pt idx="0">
                    <c:v>27430.385999999999</c:v>
                  </c:pt>
                  <c:pt idx="1">
                    <c:v>27445.379000000001</c:v>
                  </c:pt>
                  <c:pt idx="2">
                    <c:v>27560.213</c:v>
                  </c:pt>
                  <c:pt idx="3">
                    <c:v>27947.197</c:v>
                  </c:pt>
                  <c:pt idx="4">
                    <c:v>27957.192999999999</c:v>
                  </c:pt>
                  <c:pt idx="5">
                    <c:v>28094.488000000001</c:v>
                  </c:pt>
                  <c:pt idx="6">
                    <c:v>28159.419000000002</c:v>
                  </c:pt>
                  <c:pt idx="7">
                    <c:v>28184.357</c:v>
                  </c:pt>
                  <c:pt idx="8">
                    <c:v>28249.277999999998</c:v>
                  </c:pt>
                  <c:pt idx="9">
                    <c:v>28254.276999999998</c:v>
                  </c:pt>
                  <c:pt idx="10">
                    <c:v>28269.235000000001</c:v>
                  </c:pt>
                  <c:pt idx="11">
                    <c:v>28274.245999999999</c:v>
                  </c:pt>
                  <c:pt idx="12">
                    <c:v>28279.254000000001</c:v>
                  </c:pt>
                  <c:pt idx="13">
                    <c:v>28436.526000000002</c:v>
                  </c:pt>
                  <c:pt idx="14">
                    <c:v>28523.286</c:v>
                  </c:pt>
                  <c:pt idx="15">
                    <c:v>28601.269</c:v>
                  </c:pt>
                  <c:pt idx="16">
                    <c:v>28611.253000000001</c:v>
                  </c:pt>
                  <c:pt idx="17">
                    <c:v>52635.734499999999</c:v>
                  </c:pt>
                  <c:pt idx="18">
                    <c:v>52639.790500000003</c:v>
                  </c:pt>
                  <c:pt idx="19">
                    <c:v>52641.663399999998</c:v>
                  </c:pt>
                  <c:pt idx="20">
                    <c:v>53017.697999999997</c:v>
                  </c:pt>
                  <c:pt idx="21">
                    <c:v>57062.696499999998</c:v>
                  </c:pt>
                  <c:pt idx="22">
                    <c:v>57112.942999999999</c:v>
                  </c:pt>
                  <c:pt idx="23">
                    <c:v>57117.935899999997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1'!$H$21:$H$968</c:f>
              <c:numCache>
                <c:formatCode>General</c:formatCode>
                <c:ptCount val="94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AA-4F76-86E7-6CD05ABFCD8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8.0000000000000004E-4</c:v>
                  </c:pt>
                  <c:pt idx="20">
                    <c:v>2E-3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8.0000000000000004E-4</c:v>
                  </c:pt>
                  <c:pt idx="20">
                    <c:v>2E-3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1'!$I$21:$I$968</c:f>
              <c:numCache>
                <c:formatCode>General</c:formatCode>
                <c:ptCount val="948"/>
                <c:pt idx="0">
                  <c:v>-1.4486399999441346E-2</c:v>
                </c:pt>
                <c:pt idx="1">
                  <c:v>-9.0400000044610351E-4</c:v>
                </c:pt>
                <c:pt idx="2">
                  <c:v>-9.105599998292746E-3</c:v>
                </c:pt>
                <c:pt idx="3">
                  <c:v>6.6064000020560343E-3</c:v>
                </c:pt>
                <c:pt idx="4">
                  <c:v>1.6328000001522014E-2</c:v>
                </c:pt>
                <c:pt idx="6">
                  <c:v>2.019040000232053E-2</c:v>
                </c:pt>
                <c:pt idx="7">
                  <c:v>-7.5055999986943789E-3</c:v>
                </c:pt>
                <c:pt idx="8">
                  <c:v>2.6847999979509041E-3</c:v>
                </c:pt>
                <c:pt idx="9">
                  <c:v>8.5455999978876207E-3</c:v>
                </c:pt>
                <c:pt idx="10">
                  <c:v>-1.2871999999333639E-2</c:v>
                </c:pt>
                <c:pt idx="11">
                  <c:v>4.9887999994098209E-3</c:v>
                </c:pt>
                <c:pt idx="12">
                  <c:v>1.9849600001180079E-2</c:v>
                </c:pt>
                <c:pt idx="13">
                  <c:v>7.9648000028100796E-3</c:v>
                </c:pt>
                <c:pt idx="14">
                  <c:v>1.2171200000011595E-2</c:v>
                </c:pt>
                <c:pt idx="15">
                  <c:v>-2.2628799997619353E-2</c:v>
                </c:pt>
                <c:pt idx="16">
                  <c:v>-2.4907199996960117E-2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A-4F76-86E7-6CD05ABFCD8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1'!$J$21:$J$968</c:f>
              <c:numCache>
                <c:formatCode>General</c:formatCode>
                <c:ptCount val="948"/>
                <c:pt idx="21">
                  <c:v>-0.73685359999944922</c:v>
                </c:pt>
                <c:pt idx="22">
                  <c:v>-0.73381679999874905</c:v>
                </c:pt>
                <c:pt idx="23">
                  <c:v>-0.73405600000114646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AA-4F76-86E7-6CD05ABFCD8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1'!$K$21:$K$968</c:f>
              <c:numCache>
                <c:formatCode>General</c:formatCode>
                <c:ptCount val="948"/>
                <c:pt idx="17">
                  <c:v>-0.65681039999617497</c:v>
                </c:pt>
                <c:pt idx="18">
                  <c:v>-0.6577359999937471</c:v>
                </c:pt>
                <c:pt idx="19">
                  <c:v>-0.65726320000248961</c:v>
                </c:pt>
                <c:pt idx="20">
                  <c:v>-0.66845920000196202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AA-4F76-86E7-6CD05ABFCD8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AA-4F76-86E7-6CD05ABFCD8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AA-4F76-86E7-6CD05ABFCD8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AA-4F76-86E7-6CD05ABFCD8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-1063.5</c:v>
                </c:pt>
                <c:pt idx="1">
                  <c:v>-1039.5</c:v>
                </c:pt>
                <c:pt idx="2">
                  <c:v>-855.5</c:v>
                </c:pt>
                <c:pt idx="3">
                  <c:v>-235.5</c:v>
                </c:pt>
                <c:pt idx="4">
                  <c:v>-219.5</c:v>
                </c:pt>
                <c:pt idx="5">
                  <c:v>0.5</c:v>
                </c:pt>
                <c:pt idx="6">
                  <c:v>104.5</c:v>
                </c:pt>
                <c:pt idx="7">
                  <c:v>144.5</c:v>
                </c:pt>
                <c:pt idx="8">
                  <c:v>248.5</c:v>
                </c:pt>
                <c:pt idx="9">
                  <c:v>256.5</c:v>
                </c:pt>
                <c:pt idx="10">
                  <c:v>280.5</c:v>
                </c:pt>
                <c:pt idx="11">
                  <c:v>288.5</c:v>
                </c:pt>
                <c:pt idx="12">
                  <c:v>296.5</c:v>
                </c:pt>
                <c:pt idx="13">
                  <c:v>548.5</c:v>
                </c:pt>
                <c:pt idx="14">
                  <c:v>687.5</c:v>
                </c:pt>
                <c:pt idx="15">
                  <c:v>812.5</c:v>
                </c:pt>
                <c:pt idx="16">
                  <c:v>828.5</c:v>
                </c:pt>
                <c:pt idx="17">
                  <c:v>39321.5</c:v>
                </c:pt>
                <c:pt idx="18">
                  <c:v>39328</c:v>
                </c:pt>
                <c:pt idx="19">
                  <c:v>39331</c:v>
                </c:pt>
                <c:pt idx="20">
                  <c:v>39933.5</c:v>
                </c:pt>
                <c:pt idx="21">
                  <c:v>46414.5</c:v>
                </c:pt>
                <c:pt idx="22">
                  <c:v>46495</c:v>
                </c:pt>
                <c:pt idx="23">
                  <c:v>46503</c:v>
                </c:pt>
              </c:numCache>
            </c:numRef>
          </c:xVal>
          <c:yVal>
            <c:numRef>
              <c:f>'Active 1'!$O$21:$O$968</c:f>
              <c:numCache>
                <c:formatCode>General</c:formatCode>
                <c:ptCount val="948"/>
                <c:pt idx="0">
                  <c:v>1.7973462709880646E-2</c:v>
                </c:pt>
                <c:pt idx="1">
                  <c:v>1.7583054418931265E-2</c:v>
                </c:pt>
                <c:pt idx="2">
                  <c:v>1.4589924188319368E-2</c:v>
                </c:pt>
                <c:pt idx="3">
                  <c:v>4.5043766721271014E-3</c:v>
                </c:pt>
                <c:pt idx="4">
                  <c:v>4.2441044781608497E-3</c:v>
                </c:pt>
                <c:pt idx="5">
                  <c:v>6.6536181112488357E-4</c:v>
                </c:pt>
                <c:pt idx="6">
                  <c:v>-1.0264074496557547E-3</c:v>
                </c:pt>
                <c:pt idx="7">
                  <c:v>-1.677087934571385E-3</c:v>
                </c:pt>
                <c:pt idx="8">
                  <c:v>-3.368857195352023E-3</c:v>
                </c:pt>
                <c:pt idx="9">
                  <c:v>-3.4989932923351497E-3</c:v>
                </c:pt>
                <c:pt idx="10">
                  <c:v>-3.8894015832845272E-3</c:v>
                </c:pt>
                <c:pt idx="11">
                  <c:v>-4.0195376802676531E-3</c:v>
                </c:pt>
                <c:pt idx="12">
                  <c:v>-4.1496737772507798E-3</c:v>
                </c:pt>
                <c:pt idx="13">
                  <c:v>-8.2489608322192497E-3</c:v>
                </c:pt>
                <c:pt idx="14">
                  <c:v>-1.0510075517301064E-2</c:v>
                </c:pt>
                <c:pt idx="15">
                  <c:v>-1.2543452032662408E-2</c:v>
                </c:pt>
                <c:pt idx="16">
                  <c:v>-1.2803724226628661E-2</c:v>
                </c:pt>
                <c:pt idx="17">
                  <c:v>-0.6389698218730625</c:v>
                </c:pt>
                <c:pt idx="18">
                  <c:v>-0.63907555745186129</c:v>
                </c:pt>
                <c:pt idx="19">
                  <c:v>-0.6391243584882299</c:v>
                </c:pt>
                <c:pt idx="20">
                  <c:v>-0.64892523329227159</c:v>
                </c:pt>
                <c:pt idx="21">
                  <c:v>-0.75435173886072659</c:v>
                </c:pt>
                <c:pt idx="22">
                  <c:v>-0.75566123333661928</c:v>
                </c:pt>
                <c:pt idx="23">
                  <c:v>-0.75579136943360237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AA-4F76-86E7-6CD05ABF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4176"/>
        <c:axId val="1"/>
      </c:scatterChart>
      <c:valAx>
        <c:axId val="68167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2327138429182"/>
          <c:y val="0.91975600272188196"/>
          <c:w val="0.6752832228766234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CMa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583263062322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2'!$C$21:$C$1969</c:f>
                <c:numCache>
                  <c:formatCode>General</c:formatCode>
                  <c:ptCount val="1949"/>
                  <c:pt idx="0">
                    <c:v>27430.385999999999</c:v>
                  </c:pt>
                  <c:pt idx="1">
                    <c:v>27445.379000000001</c:v>
                  </c:pt>
                  <c:pt idx="2">
                    <c:v>27560.213</c:v>
                  </c:pt>
                  <c:pt idx="3">
                    <c:v>27947.197</c:v>
                  </c:pt>
                  <c:pt idx="4">
                    <c:v>27957.192999999999</c:v>
                  </c:pt>
                  <c:pt idx="5">
                    <c:v>28094.488000000001</c:v>
                  </c:pt>
                  <c:pt idx="6">
                    <c:v>28159.419000000002</c:v>
                  </c:pt>
                  <c:pt idx="7">
                    <c:v>28184.357</c:v>
                  </c:pt>
                  <c:pt idx="8">
                    <c:v>28249.277999999998</c:v>
                  </c:pt>
                  <c:pt idx="9">
                    <c:v>28254.276999999998</c:v>
                  </c:pt>
                  <c:pt idx="10">
                    <c:v>28269.235000000001</c:v>
                  </c:pt>
                  <c:pt idx="11">
                    <c:v>28274.245999999999</c:v>
                  </c:pt>
                  <c:pt idx="12">
                    <c:v>28279.254000000001</c:v>
                  </c:pt>
                  <c:pt idx="13">
                    <c:v>28436.526000000002</c:v>
                  </c:pt>
                  <c:pt idx="14">
                    <c:v>28523.286</c:v>
                  </c:pt>
                  <c:pt idx="15">
                    <c:v>28601.269</c:v>
                  </c:pt>
                  <c:pt idx="16">
                    <c:v>28611.253000000001</c:v>
                  </c:pt>
                  <c:pt idx="17">
                    <c:v>52635.734499999999</c:v>
                  </c:pt>
                  <c:pt idx="18">
                    <c:v>52639.790500000003</c:v>
                  </c:pt>
                  <c:pt idx="19">
                    <c:v>52641.663399999998</c:v>
                  </c:pt>
                  <c:pt idx="20">
                    <c:v>53017.697999999997</c:v>
                  </c:pt>
                  <c:pt idx="21">
                    <c:v>57062.696499999998</c:v>
                  </c:pt>
                  <c:pt idx="22">
                    <c:v>57112.942999999999</c:v>
                  </c:pt>
                  <c:pt idx="23">
                    <c:v>57117.935899999997</c:v>
                  </c:pt>
                </c:numCache>
              </c:numRef>
            </c:plus>
            <c:minus>
              <c:numRef>
                <c:f>'Active 2'!$C$21:$C$1969</c:f>
                <c:numCache>
                  <c:formatCode>General</c:formatCode>
                  <c:ptCount val="1949"/>
                  <c:pt idx="0">
                    <c:v>27430.385999999999</c:v>
                  </c:pt>
                  <c:pt idx="1">
                    <c:v>27445.379000000001</c:v>
                  </c:pt>
                  <c:pt idx="2">
                    <c:v>27560.213</c:v>
                  </c:pt>
                  <c:pt idx="3">
                    <c:v>27947.197</c:v>
                  </c:pt>
                  <c:pt idx="4">
                    <c:v>27957.192999999999</c:v>
                  </c:pt>
                  <c:pt idx="5">
                    <c:v>28094.488000000001</c:v>
                  </c:pt>
                  <c:pt idx="6">
                    <c:v>28159.419000000002</c:v>
                  </c:pt>
                  <c:pt idx="7">
                    <c:v>28184.357</c:v>
                  </c:pt>
                  <c:pt idx="8">
                    <c:v>28249.277999999998</c:v>
                  </c:pt>
                  <c:pt idx="9">
                    <c:v>28254.276999999998</c:v>
                  </c:pt>
                  <c:pt idx="10">
                    <c:v>28269.235000000001</c:v>
                  </c:pt>
                  <c:pt idx="11">
                    <c:v>28274.245999999999</c:v>
                  </c:pt>
                  <c:pt idx="12">
                    <c:v>28279.254000000001</c:v>
                  </c:pt>
                  <c:pt idx="13">
                    <c:v>28436.526000000002</c:v>
                  </c:pt>
                  <c:pt idx="14">
                    <c:v>28523.286</c:v>
                  </c:pt>
                  <c:pt idx="15">
                    <c:v>28601.269</c:v>
                  </c:pt>
                  <c:pt idx="16">
                    <c:v>28611.253000000001</c:v>
                  </c:pt>
                  <c:pt idx="17">
                    <c:v>52635.734499999999</c:v>
                  </c:pt>
                  <c:pt idx="18">
                    <c:v>52639.790500000003</c:v>
                  </c:pt>
                  <c:pt idx="19">
                    <c:v>52641.663399999998</c:v>
                  </c:pt>
                  <c:pt idx="20">
                    <c:v>53017.697999999997</c:v>
                  </c:pt>
                  <c:pt idx="21">
                    <c:v>57062.696499999998</c:v>
                  </c:pt>
                  <c:pt idx="22">
                    <c:v>57112.942999999999</c:v>
                  </c:pt>
                  <c:pt idx="23">
                    <c:v>57117.935899999997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2'!$H$21:$H$968</c:f>
              <c:numCache>
                <c:formatCode>General</c:formatCode>
                <c:ptCount val="948"/>
                <c:pt idx="5">
                  <c:v>0.62414239999998244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D1-4BAD-ABE6-526D96885FE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8.0000000000000004E-4</c:v>
                  </c:pt>
                  <c:pt idx="20">
                    <c:v>2E-3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8.0000000000000004E-4</c:v>
                  </c:pt>
                  <c:pt idx="20">
                    <c:v>2E-3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2'!$I$21:$I$968</c:f>
              <c:numCache>
                <c:formatCode>General</c:formatCode>
                <c:ptCount val="948"/>
                <c:pt idx="0">
                  <c:v>0.60965599999690312</c:v>
                </c:pt>
                <c:pt idx="1">
                  <c:v>0.62323839999953634</c:v>
                </c:pt>
                <c:pt idx="2">
                  <c:v>0.61503679999805172</c:v>
                </c:pt>
                <c:pt idx="3">
                  <c:v>0.6307487999984005</c:v>
                </c:pt>
                <c:pt idx="4">
                  <c:v>0.64047039999786648</c:v>
                </c:pt>
                <c:pt idx="6">
                  <c:v>0.64433280000230297</c:v>
                </c:pt>
                <c:pt idx="7">
                  <c:v>0.61663679999765009</c:v>
                </c:pt>
                <c:pt idx="8">
                  <c:v>0.62682719999793335</c:v>
                </c:pt>
                <c:pt idx="9">
                  <c:v>0.63268799999787007</c:v>
                </c:pt>
                <c:pt idx="10">
                  <c:v>0.61127040000064881</c:v>
                </c:pt>
                <c:pt idx="11">
                  <c:v>0.62913119999939227</c:v>
                </c:pt>
                <c:pt idx="12">
                  <c:v>0.64399200000116252</c:v>
                </c:pt>
                <c:pt idx="13">
                  <c:v>0.63210719999915455</c:v>
                </c:pt>
                <c:pt idx="14">
                  <c:v>0.63631359999999404</c:v>
                </c:pt>
                <c:pt idx="15">
                  <c:v>0.60151359999872511</c:v>
                </c:pt>
                <c:pt idx="16">
                  <c:v>0.59923519999938435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D1-4BAD-ABE6-526D96885FE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2'!$J$21:$J$968</c:f>
              <c:numCache>
                <c:formatCode>General</c:formatCode>
                <c:ptCount val="948"/>
                <c:pt idx="21">
                  <c:v>-0.11271120000310475</c:v>
                </c:pt>
                <c:pt idx="22">
                  <c:v>-0.10967440000240458</c:v>
                </c:pt>
                <c:pt idx="23">
                  <c:v>-0.10991360000480199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D1-4BAD-ABE6-526D96885FE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2'!$K$21:$K$968</c:f>
              <c:numCache>
                <c:formatCode>General</c:formatCode>
                <c:ptCount val="948"/>
                <c:pt idx="17">
                  <c:v>-3.2668000007106457E-2</c:v>
                </c:pt>
                <c:pt idx="18">
                  <c:v>-3.3593599997402634E-2</c:v>
                </c:pt>
                <c:pt idx="19">
                  <c:v>-3.3120800006145146E-2</c:v>
                </c:pt>
                <c:pt idx="20">
                  <c:v>-4.4316800005617552E-2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D1-4BAD-ABE6-526D96885FE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D1-4BAD-ABE6-526D96885FE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D1-4BAD-ABE6-526D96885FE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D1-4BAD-ABE6-526D96885FE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-1065</c:v>
                </c:pt>
                <c:pt idx="1">
                  <c:v>-1041</c:v>
                </c:pt>
                <c:pt idx="2">
                  <c:v>-857</c:v>
                </c:pt>
                <c:pt idx="3">
                  <c:v>-237</c:v>
                </c:pt>
                <c:pt idx="4">
                  <c:v>-221</c:v>
                </c:pt>
                <c:pt idx="5">
                  <c:v>-1</c:v>
                </c:pt>
                <c:pt idx="6">
                  <c:v>103</c:v>
                </c:pt>
                <c:pt idx="7">
                  <c:v>143</c:v>
                </c:pt>
                <c:pt idx="8">
                  <c:v>247</c:v>
                </c:pt>
                <c:pt idx="9">
                  <c:v>255</c:v>
                </c:pt>
                <c:pt idx="10">
                  <c:v>279</c:v>
                </c:pt>
                <c:pt idx="11">
                  <c:v>287</c:v>
                </c:pt>
                <c:pt idx="12">
                  <c:v>295</c:v>
                </c:pt>
                <c:pt idx="13">
                  <c:v>547</c:v>
                </c:pt>
                <c:pt idx="14">
                  <c:v>686</c:v>
                </c:pt>
                <c:pt idx="15">
                  <c:v>811</c:v>
                </c:pt>
                <c:pt idx="16">
                  <c:v>827</c:v>
                </c:pt>
                <c:pt idx="17">
                  <c:v>39320</c:v>
                </c:pt>
                <c:pt idx="18">
                  <c:v>39326.5</c:v>
                </c:pt>
                <c:pt idx="19">
                  <c:v>39329.5</c:v>
                </c:pt>
                <c:pt idx="20">
                  <c:v>39932</c:v>
                </c:pt>
                <c:pt idx="21">
                  <c:v>46413</c:v>
                </c:pt>
                <c:pt idx="22">
                  <c:v>46493.5</c:v>
                </c:pt>
                <c:pt idx="23">
                  <c:v>46501.5</c:v>
                </c:pt>
              </c:numCache>
            </c:numRef>
          </c:xVal>
          <c:yVal>
            <c:numRef>
              <c:f>'Active 2'!$O$21:$O$968</c:f>
              <c:numCache>
                <c:formatCode>General</c:formatCode>
                <c:ptCount val="948"/>
                <c:pt idx="0">
                  <c:v>0.6421158627081831</c:v>
                </c:pt>
                <c:pt idx="1">
                  <c:v>0.64172545441723217</c:v>
                </c:pt>
                <c:pt idx="2">
                  <c:v>0.63873232418660808</c:v>
                </c:pt>
                <c:pt idx="3">
                  <c:v>0.62864677667037461</c:v>
                </c:pt>
                <c:pt idx="4">
                  <c:v>0.62838650447640731</c:v>
                </c:pt>
                <c:pt idx="5">
                  <c:v>0.62480776180935671</c:v>
                </c:pt>
                <c:pt idx="6">
                  <c:v>0.62311599254856909</c:v>
                </c:pt>
                <c:pt idx="7">
                  <c:v>0.62246531206365086</c:v>
                </c:pt>
                <c:pt idx="8">
                  <c:v>0.62077354280286334</c:v>
                </c:pt>
                <c:pt idx="9">
                  <c:v>0.62064340670587959</c:v>
                </c:pt>
                <c:pt idx="10">
                  <c:v>0.62025299841492865</c:v>
                </c:pt>
                <c:pt idx="11">
                  <c:v>0.620122862317945</c:v>
                </c:pt>
                <c:pt idx="12">
                  <c:v>0.61999272622096135</c:v>
                </c:pt>
                <c:pt idx="13">
                  <c:v>0.61589343916597616</c:v>
                </c:pt>
                <c:pt idx="14">
                  <c:v>0.61363232448088512</c:v>
                </c:pt>
                <c:pt idx="15">
                  <c:v>0.61159894796551539</c:v>
                </c:pt>
                <c:pt idx="16">
                  <c:v>0.6113386757715481</c:v>
                </c:pt>
                <c:pt idx="17">
                  <c:v>-1.482742187744357E-2</c:v>
                </c:pt>
                <c:pt idx="18">
                  <c:v>-1.4933157456242796E-2</c:v>
                </c:pt>
                <c:pt idx="19">
                  <c:v>-1.4981958492611636E-2</c:v>
                </c:pt>
                <c:pt idx="20">
                  <c:v>-2.4782833296693396E-2</c:v>
                </c:pt>
                <c:pt idx="21">
                  <c:v>-0.13020933886557906</c:v>
                </c:pt>
                <c:pt idx="22">
                  <c:v>-0.13151883334147707</c:v>
                </c:pt>
                <c:pt idx="23">
                  <c:v>-0.13164896943846072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D1-4BAD-ABE6-526D9688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13816"/>
        <c:axId val="1"/>
      </c:scatterChart>
      <c:valAx>
        <c:axId val="51331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8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13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2327138429182"/>
          <c:y val="0.91975600272188196"/>
          <c:w val="0.6752832228766234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CMa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(old)'!$C$21:$C$1969</c:f>
                <c:numCache>
                  <c:formatCode>General</c:formatCode>
                  <c:ptCount val="1949"/>
                  <c:pt idx="0">
                    <c:v>28094.488000000001</c:v>
                  </c:pt>
                  <c:pt idx="1">
                    <c:v>53017.697999999997</c:v>
                  </c:pt>
                  <c:pt idx="2">
                    <c:v>52635.734499999999</c:v>
                  </c:pt>
                  <c:pt idx="3">
                    <c:v>52639.790500000003</c:v>
                  </c:pt>
                  <c:pt idx="4">
                    <c:v>52641.663399999998</c:v>
                  </c:pt>
                </c:numCache>
              </c:numRef>
            </c:plus>
            <c:minus>
              <c:numRef>
                <c:f>'A (old)'!$C$21:$C$1969</c:f>
                <c:numCache>
                  <c:formatCode>General</c:formatCode>
                  <c:ptCount val="1949"/>
                  <c:pt idx="0">
                    <c:v>28094.488000000001</c:v>
                  </c:pt>
                  <c:pt idx="1">
                    <c:v>53017.697999999997</c:v>
                  </c:pt>
                  <c:pt idx="2">
                    <c:v>52635.734499999999</c:v>
                  </c:pt>
                  <c:pt idx="3">
                    <c:v>52639.790500000003</c:v>
                  </c:pt>
                  <c:pt idx="4">
                    <c:v>52641.663399999998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C-4C1A-9FFB-4095CAF328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 (old)'!$D$21:$D$87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(old)'!$I$21:$I$968</c:f>
              <c:numCache>
                <c:formatCode>General</c:formatCode>
                <c:ptCount val="948"/>
                <c:pt idx="0">
                  <c:v>0</c:v>
                </c:pt>
                <c:pt idx="1">
                  <c:v>-4.4316800005617552E-2</c:v>
                </c:pt>
                <c:pt idx="2">
                  <c:v>-3.2668000007106457E-2</c:v>
                </c:pt>
                <c:pt idx="3">
                  <c:v>-3.3593599997402634E-2</c:v>
                </c:pt>
                <c:pt idx="4">
                  <c:v>-3.3120800006145146E-2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CC-4C1A-9FFB-4095CAF328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C-4C1A-9FFB-4095CAF328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CC-4C1A-9FFB-4095CAF328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CC-4C1A-9FFB-4095CAF328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CC-4C1A-9FFB-4095CAF328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CC-4C1A-9FFB-4095CAF328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(old)'!$O$21:$O$968</c:f>
              <c:numCache>
                <c:formatCode>General</c:formatCode>
                <c:ptCount val="948"/>
                <c:pt idx="0">
                  <c:v>1.2264869844370516E-4</c:v>
                </c:pt>
                <c:pt idx="1">
                  <c:v>-3.6371287607386504E-2</c:v>
                </c:pt>
                <c:pt idx="2">
                  <c:v>-3.5811979558223725E-2</c:v>
                </c:pt>
                <c:pt idx="3">
                  <c:v>-3.581791992149097E-2</c:v>
                </c:pt>
                <c:pt idx="4">
                  <c:v>-3.5820661627614311E-2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CC-4C1A-9FFB-4095CAF3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14240"/>
        <c:axId val="1"/>
      </c:scatterChart>
      <c:valAx>
        <c:axId val="56641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41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55267364600425"/>
          <c:y val="0.91975600272188196"/>
          <c:w val="0.90630116308159381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CMa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799677529026726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(old2)'!$C$21:$C$1969</c:f>
                <c:numCache>
                  <c:formatCode>General</c:formatCode>
                  <c:ptCount val="1949"/>
                  <c:pt idx="0">
                    <c:v>28094.488000000001</c:v>
                  </c:pt>
                  <c:pt idx="1">
                    <c:v>53017.697999999997</c:v>
                  </c:pt>
                  <c:pt idx="2">
                    <c:v>52635.734499999999</c:v>
                  </c:pt>
                  <c:pt idx="3">
                    <c:v>52639.790500000003</c:v>
                  </c:pt>
                  <c:pt idx="4">
                    <c:v>52641.663399999998</c:v>
                  </c:pt>
                </c:numCache>
              </c:numRef>
            </c:plus>
            <c:minus>
              <c:numRef>
                <c:f>'A (old2)'!$C$21:$C$1969</c:f>
                <c:numCache>
                  <c:formatCode>General</c:formatCode>
                  <c:ptCount val="1949"/>
                  <c:pt idx="0">
                    <c:v>28094.488000000001</c:v>
                  </c:pt>
                  <c:pt idx="1">
                    <c:v>53017.697999999997</c:v>
                  </c:pt>
                  <c:pt idx="2">
                    <c:v>52635.734499999999</c:v>
                  </c:pt>
                  <c:pt idx="3">
                    <c:v>52639.790500000003</c:v>
                  </c:pt>
                  <c:pt idx="4">
                    <c:v>52641.663399999998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B-464C-962F-C24F793A5A1C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'A (old2)'!$D$21:$D$87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(old2)'!$I$21:$I$968</c:f>
              <c:numCache>
                <c:formatCode>General</c:formatCode>
                <c:ptCount val="948"/>
                <c:pt idx="0">
                  <c:v>0</c:v>
                </c:pt>
                <c:pt idx="1">
                  <c:v>-1.017493999825092E-2</c:v>
                </c:pt>
                <c:pt idx="2">
                  <c:v>9.5059999875957146E-4</c:v>
                </c:pt>
                <c:pt idx="3">
                  <c:v>3.0557501304429024E-5</c:v>
                </c:pt>
                <c:pt idx="4">
                  <c:v>5.0592250045156106E-4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B-464C-962F-C24F793A5A1C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0B-464C-962F-C24F793A5A1C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0B-464C-962F-C24F793A5A1C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0B-464C-962F-C24F793A5A1C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B-464C-962F-C24F793A5A1C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0B-464C-962F-C24F793A5A1C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(old2)'!$F$21:$F$968</c:f>
              <c:numCache>
                <c:formatCode>General</c:formatCode>
                <c:ptCount val="948"/>
                <c:pt idx="0">
                  <c:v>0</c:v>
                </c:pt>
                <c:pt idx="1">
                  <c:v>39932</c:v>
                </c:pt>
                <c:pt idx="2">
                  <c:v>39320</c:v>
                </c:pt>
                <c:pt idx="3">
                  <c:v>39326.5</c:v>
                </c:pt>
                <c:pt idx="4">
                  <c:v>39329.5</c:v>
                </c:pt>
              </c:numCache>
            </c:numRef>
          </c:xVal>
          <c:yVal>
            <c:numRef>
              <c:f>'A (old2)'!$O$21:$O$968</c:f>
              <c:numCache>
                <c:formatCode>General</c:formatCode>
                <c:ptCount val="948"/>
                <c:pt idx="0">
                  <c:v>1.2264869840268719E-4</c:v>
                </c:pt>
                <c:pt idx="1">
                  <c:v>-2.2294276026881307E-3</c:v>
                </c:pt>
                <c:pt idx="2">
                  <c:v>-2.1933795535979878E-3</c:v>
                </c:pt>
                <c:pt idx="3">
                  <c:v>-2.1937624168644684E-3</c:v>
                </c:pt>
                <c:pt idx="4">
                  <c:v>-2.193939122987459E-3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0B-464C-962F-C24F793A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12440"/>
        <c:axId val="1"/>
      </c:scatterChart>
      <c:valAx>
        <c:axId val="56641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41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39920030190085"/>
          <c:y val="0.91975600272188196"/>
          <c:w val="0.91114768973749038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28575</xdr:rowOff>
    </xdr:from>
    <xdr:to>
      <xdr:col>18</xdr:col>
      <xdr:colOff>495300</xdr:colOff>
      <xdr:row>18</xdr:row>
      <xdr:rowOff>38100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4875B371-040F-117B-1188-2EBC6373D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28575</xdr:rowOff>
    </xdr:from>
    <xdr:to>
      <xdr:col>16</xdr:col>
      <xdr:colOff>457200</xdr:colOff>
      <xdr:row>18</xdr:row>
      <xdr:rowOff>66675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1651FC91-47AD-B3F6-A637-DF6EC0BF0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66675</xdr:rowOff>
    </xdr:from>
    <xdr:to>
      <xdr:col>16</xdr:col>
      <xdr:colOff>342900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665FF09-5952-C32C-BCB4-C87FFE970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BEB09B4A-61E4-C569-F635-C9EAA78CD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5603" TargetMode="External"/><Relationship Id="rId4" Type="http://schemas.openxmlformats.org/officeDocument/2006/relationships/hyperlink" Target="http://www.bav-astro.de/sfs/BAVM_link.php?BAVMnr=24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45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129</v>
      </c>
    </row>
    <row r="2" spans="1:6">
      <c r="A2" t="s">
        <v>25</v>
      </c>
      <c r="B2" s="11" t="s">
        <v>29</v>
      </c>
    </row>
    <row r="3" spans="1:6" ht="13.5" thickBot="1"/>
    <row r="4" spans="1:6" ht="13.5" thickBot="1">
      <c r="A4" s="8" t="s">
        <v>0</v>
      </c>
      <c r="C4" s="12">
        <v>28094.488000000001</v>
      </c>
      <c r="D4" s="13">
        <v>0.62414239999999999</v>
      </c>
    </row>
    <row r="5" spans="1:6">
      <c r="A5" s="43" t="s">
        <v>121</v>
      </c>
      <c r="B5" s="27"/>
      <c r="C5" s="44">
        <v>-9.5</v>
      </c>
      <c r="D5" s="27" t="s">
        <v>122</v>
      </c>
    </row>
    <row r="6" spans="1:6">
      <c r="A6" s="8" t="s">
        <v>1</v>
      </c>
    </row>
    <row r="7" spans="1:6">
      <c r="A7" t="s">
        <v>2</v>
      </c>
      <c r="C7" s="22">
        <v>28094.175928799999</v>
      </c>
      <c r="D7" s="22" t="s">
        <v>131</v>
      </c>
    </row>
    <row r="8" spans="1:6">
      <c r="A8" t="s">
        <v>3</v>
      </c>
      <c r="C8">
        <f>+D4</f>
        <v>0.62414239999999999</v>
      </c>
      <c r="D8" t="s">
        <v>130</v>
      </c>
    </row>
    <row r="9" spans="1:6">
      <c r="A9" s="45" t="s">
        <v>123</v>
      </c>
      <c r="B9" s="46">
        <v>21</v>
      </c>
      <c r="C9" s="47" t="str">
        <f>"F"&amp;B9</f>
        <v>F21</v>
      </c>
      <c r="D9" s="22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15</v>
      </c>
      <c r="C11" s="48">
        <f ca="1">INTERCEPT(INDIRECT($D$9):G978,INDIRECT($C$9):F978)</f>
        <v>6.7349531718632893E-4</v>
      </c>
      <c r="D11" s="6"/>
    </row>
    <row r="12" spans="1:6">
      <c r="A12" t="s">
        <v>16</v>
      </c>
      <c r="C12" s="48">
        <f ca="1">SLOPE(INDIRECT($D$9):G978,INDIRECT($C$9):F978)</f>
        <v>-1.6267012122890753E-5</v>
      </c>
      <c r="D12" s="6"/>
    </row>
    <row r="13" spans="1:6">
      <c r="A13" t="s">
        <v>19</v>
      </c>
      <c r="C13" s="6"/>
      <c r="D13" s="6"/>
    </row>
    <row r="14" spans="1:6">
      <c r="A14" t="s">
        <v>24</v>
      </c>
    </row>
    <row r="15" spans="1:6">
      <c r="A15" s="3" t="s">
        <v>17</v>
      </c>
      <c r="C15" s="18">
        <v>53017.697999999997</v>
      </c>
      <c r="E15" s="49" t="s">
        <v>124</v>
      </c>
      <c r="F15" s="44">
        <v>1</v>
      </c>
    </row>
    <row r="16" spans="1:6">
      <c r="A16" s="8" t="s">
        <v>4</v>
      </c>
      <c r="C16">
        <f ca="1">+C8+C12</f>
        <v>0.62412613298787711</v>
      </c>
      <c r="E16" s="49" t="s">
        <v>125</v>
      </c>
      <c r="F16" s="50">
        <f ca="1">NOW()+15018.5+$C$5/24</f>
        <v>60335.696499189813</v>
      </c>
    </row>
    <row r="17" spans="1:17" ht="13.5" thickBot="1">
      <c r="A17" t="s">
        <v>132</v>
      </c>
      <c r="C17">
        <f>COUNT(C21:C2196)</f>
        <v>24</v>
      </c>
      <c r="E17" s="49" t="s">
        <v>126</v>
      </c>
      <c r="F17" s="50">
        <f ca="1">ROUND(2*(F16-$C$7)/$C$8,0)/2+F15</f>
        <v>51658.5</v>
      </c>
    </row>
    <row r="18" spans="1:17">
      <c r="A18" s="8" t="s">
        <v>5</v>
      </c>
      <c r="C18" s="4">
        <f>+C15</f>
        <v>53017.697999999997</v>
      </c>
      <c r="D18" s="5">
        <f ca="1">+C16</f>
        <v>0.62412613298787711</v>
      </c>
      <c r="E18" s="49" t="s">
        <v>127</v>
      </c>
      <c r="F18" s="22">
        <f ca="1">ROUND(2*(F16-$C$15)/$C$16,0)/2+F15</f>
        <v>11726</v>
      </c>
    </row>
    <row r="19" spans="1:17" ht="13.5" thickTop="1">
      <c r="C19">
        <f>COUNT(C21:C2722)</f>
        <v>24</v>
      </c>
      <c r="E19" s="49" t="s">
        <v>128</v>
      </c>
      <c r="F19" s="51">
        <f ca="1">+$C$15+$C$16*F18-15018.5-$C$5/24</f>
        <v>45318.096868749177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48</v>
      </c>
      <c r="I20" s="10" t="s">
        <v>51</v>
      </c>
      <c r="J20" s="10" t="s">
        <v>45</v>
      </c>
      <c r="K20" s="10" t="s">
        <v>43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40" t="s">
        <v>57</v>
      </c>
      <c r="B21" s="41" t="s">
        <v>37</v>
      </c>
      <c r="C21" s="42">
        <v>27430.385999999999</v>
      </c>
      <c r="D21" s="42" t="s">
        <v>51</v>
      </c>
      <c r="E21">
        <f t="shared" ref="E21:E44" si="0">+(C21-C$7)/C$8</f>
        <v>-1063.5232100879555</v>
      </c>
      <c r="F21">
        <f t="shared" ref="F21:F37" si="1">ROUND(2*E21,0)/2</f>
        <v>-1063.5</v>
      </c>
      <c r="G21">
        <f>+C21-(C$7+F21*C$8)</f>
        <v>-1.4486399999441346E-2</v>
      </c>
      <c r="I21">
        <f>+G21</f>
        <v>-1.4486399999441346E-2</v>
      </c>
      <c r="O21">
        <f t="shared" ref="O21:O44" ca="1" si="2">+C$11+C$12*$F21</f>
        <v>1.7973462709880646E-2</v>
      </c>
      <c r="Q21" s="2">
        <f t="shared" ref="Q21:Q44" si="3">+C21-15018.5</f>
        <v>12411.885999999999</v>
      </c>
    </row>
    <row r="22" spans="1:17">
      <c r="A22" s="40" t="s">
        <v>57</v>
      </c>
      <c r="B22" s="41" t="s">
        <v>37</v>
      </c>
      <c r="C22" s="42">
        <v>27445.379000000001</v>
      </c>
      <c r="D22" s="42" t="s">
        <v>51</v>
      </c>
      <c r="E22">
        <f t="shared" si="0"/>
        <v>-1039.501448387417</v>
      </c>
      <c r="F22">
        <f t="shared" si="1"/>
        <v>-1039.5</v>
      </c>
      <c r="G22">
        <f t="shared" ref="G22:G44" si="4">+C22-(C$7+F22*C$8)</f>
        <v>-9.0400000044610351E-4</v>
      </c>
      <c r="I22">
        <f>+G22</f>
        <v>-9.0400000044610351E-4</v>
      </c>
      <c r="O22">
        <f t="shared" ca="1" si="2"/>
        <v>1.7583054418931265E-2</v>
      </c>
      <c r="Q22" s="2">
        <f t="shared" si="3"/>
        <v>12426.879000000001</v>
      </c>
    </row>
    <row r="23" spans="1:17">
      <c r="A23" s="40" t="s">
        <v>57</v>
      </c>
      <c r="B23" s="41" t="s">
        <v>37</v>
      </c>
      <c r="C23" s="42">
        <v>27560.213</v>
      </c>
      <c r="D23" s="42" t="s">
        <v>51</v>
      </c>
      <c r="E23">
        <f t="shared" si="0"/>
        <v>-855.51458897841212</v>
      </c>
      <c r="F23">
        <f t="shared" si="1"/>
        <v>-855.5</v>
      </c>
      <c r="G23">
        <f t="shared" si="4"/>
        <v>-9.105599998292746E-3</v>
      </c>
      <c r="I23">
        <f>+G23</f>
        <v>-9.105599998292746E-3</v>
      </c>
      <c r="O23">
        <f t="shared" ca="1" si="2"/>
        <v>1.4589924188319368E-2</v>
      </c>
      <c r="Q23" s="2">
        <f t="shared" si="3"/>
        <v>12541.713</v>
      </c>
    </row>
    <row r="24" spans="1:17">
      <c r="A24" s="40" t="s">
        <v>57</v>
      </c>
      <c r="B24" s="41" t="s">
        <v>37</v>
      </c>
      <c r="C24" s="42">
        <v>27947.197</v>
      </c>
      <c r="D24" s="42" t="s">
        <v>51</v>
      </c>
      <c r="E24">
        <f t="shared" si="0"/>
        <v>-235.48941523600908</v>
      </c>
      <c r="F24">
        <f t="shared" si="1"/>
        <v>-235.5</v>
      </c>
      <c r="G24">
        <f t="shared" si="4"/>
        <v>6.6064000020560343E-3</v>
      </c>
      <c r="I24">
        <f>+G24</f>
        <v>6.6064000020560343E-3</v>
      </c>
      <c r="O24">
        <f t="shared" ca="1" si="2"/>
        <v>4.5043766721271014E-3</v>
      </c>
      <c r="Q24" s="2">
        <f t="shared" si="3"/>
        <v>12928.697</v>
      </c>
    </row>
    <row r="25" spans="1:17">
      <c r="A25" s="40" t="s">
        <v>57</v>
      </c>
      <c r="B25" s="41" t="s">
        <v>37</v>
      </c>
      <c r="C25" s="42">
        <v>27957.192999999999</v>
      </c>
      <c r="D25" s="42" t="s">
        <v>51</v>
      </c>
      <c r="E25">
        <f t="shared" si="0"/>
        <v>-219.47383930333859</v>
      </c>
      <c r="F25">
        <f t="shared" si="1"/>
        <v>-219.5</v>
      </c>
      <c r="G25">
        <f t="shared" si="4"/>
        <v>1.6328000001522014E-2</v>
      </c>
      <c r="I25">
        <f>+G25</f>
        <v>1.6328000001522014E-2</v>
      </c>
      <c r="O25">
        <f t="shared" ca="1" si="2"/>
        <v>4.2441044781608497E-3</v>
      </c>
      <c r="Q25" s="2">
        <f t="shared" si="3"/>
        <v>12938.692999999999</v>
      </c>
    </row>
    <row r="26" spans="1:17">
      <c r="A26" s="14" t="s">
        <v>12</v>
      </c>
      <c r="B26" s="15" t="s">
        <v>30</v>
      </c>
      <c r="C26" s="14">
        <v>28094.488000000001</v>
      </c>
      <c r="D26" s="14"/>
      <c r="E26">
        <f t="shared" si="0"/>
        <v>0.50000000000290035</v>
      </c>
      <c r="F26">
        <f t="shared" si="1"/>
        <v>0.5</v>
      </c>
      <c r="G26">
        <f t="shared" si="4"/>
        <v>0</v>
      </c>
      <c r="H26" s="52">
        <f>G26</f>
        <v>0</v>
      </c>
      <c r="O26">
        <f t="shared" ca="1" si="2"/>
        <v>6.6536181112488357E-4</v>
      </c>
      <c r="Q26" s="2">
        <f t="shared" si="3"/>
        <v>13075.988000000001</v>
      </c>
    </row>
    <row r="27" spans="1:17">
      <c r="A27" s="40" t="s">
        <v>57</v>
      </c>
      <c r="B27" s="41" t="s">
        <v>37</v>
      </c>
      <c r="C27" s="42">
        <v>28159.419000000002</v>
      </c>
      <c r="D27" s="42" t="s">
        <v>51</v>
      </c>
      <c r="E27">
        <f t="shared" si="0"/>
        <v>104.53234902804601</v>
      </c>
      <c r="F27">
        <f t="shared" si="1"/>
        <v>104.5</v>
      </c>
      <c r="G27">
        <f t="shared" si="4"/>
        <v>2.019040000232053E-2</v>
      </c>
      <c r="I27">
        <f t="shared" ref="I27:I37" si="5">+G27</f>
        <v>2.019040000232053E-2</v>
      </c>
      <c r="O27">
        <f t="shared" ca="1" si="2"/>
        <v>-1.0264074496557547E-3</v>
      </c>
      <c r="Q27" s="2">
        <f t="shared" si="3"/>
        <v>13140.919000000002</v>
      </c>
    </row>
    <row r="28" spans="1:17">
      <c r="A28" s="40" t="s">
        <v>57</v>
      </c>
      <c r="B28" s="41" t="s">
        <v>37</v>
      </c>
      <c r="C28" s="42">
        <v>28184.357</v>
      </c>
      <c r="D28" s="42" t="s">
        <v>51</v>
      </c>
      <c r="E28">
        <f t="shared" si="0"/>
        <v>144.48797453914457</v>
      </c>
      <c r="F28">
        <f t="shared" si="1"/>
        <v>144.5</v>
      </c>
      <c r="G28">
        <f t="shared" si="4"/>
        <v>-7.5055999986943789E-3</v>
      </c>
      <c r="I28">
        <f t="shared" si="5"/>
        <v>-7.5055999986943789E-3</v>
      </c>
      <c r="O28">
        <f t="shared" ca="1" si="2"/>
        <v>-1.677087934571385E-3</v>
      </c>
      <c r="Q28" s="2">
        <f t="shared" si="3"/>
        <v>13165.857</v>
      </c>
    </row>
    <row r="29" spans="1:17">
      <c r="A29" s="40" t="s">
        <v>57</v>
      </c>
      <c r="B29" s="41" t="s">
        <v>37</v>
      </c>
      <c r="C29" s="42">
        <v>28249.277999999998</v>
      </c>
      <c r="D29" s="42" t="s">
        <v>51</v>
      </c>
      <c r="E29">
        <f t="shared" si="0"/>
        <v>248.50430158245786</v>
      </c>
      <c r="F29">
        <f t="shared" si="1"/>
        <v>248.5</v>
      </c>
      <c r="G29">
        <f t="shared" si="4"/>
        <v>2.6847999979509041E-3</v>
      </c>
      <c r="I29">
        <f t="shared" si="5"/>
        <v>2.6847999979509041E-3</v>
      </c>
      <c r="O29">
        <f t="shared" ca="1" si="2"/>
        <v>-3.368857195352023E-3</v>
      </c>
      <c r="Q29" s="2">
        <f t="shared" si="3"/>
        <v>13230.777999999998</v>
      </c>
    </row>
    <row r="30" spans="1:17">
      <c r="A30" s="40" t="s">
        <v>57</v>
      </c>
      <c r="B30" s="41" t="s">
        <v>37</v>
      </c>
      <c r="C30" s="42">
        <v>28254.276999999998</v>
      </c>
      <c r="D30" s="42" t="s">
        <v>51</v>
      </c>
      <c r="E30">
        <f t="shared" si="0"/>
        <v>256.51369174726608</v>
      </c>
      <c r="F30">
        <f t="shared" si="1"/>
        <v>256.5</v>
      </c>
      <c r="G30">
        <f t="shared" si="4"/>
        <v>8.5455999978876207E-3</v>
      </c>
      <c r="I30">
        <f t="shared" si="5"/>
        <v>8.5455999978876207E-3</v>
      </c>
      <c r="O30">
        <f t="shared" ca="1" si="2"/>
        <v>-3.4989932923351497E-3</v>
      </c>
      <c r="Q30" s="2">
        <f t="shared" si="3"/>
        <v>13235.776999999998</v>
      </c>
    </row>
    <row r="31" spans="1:17">
      <c r="A31" s="40" t="s">
        <v>57</v>
      </c>
      <c r="B31" s="41" t="s">
        <v>37</v>
      </c>
      <c r="C31" s="42">
        <v>28269.235000000001</v>
      </c>
      <c r="D31" s="42" t="s">
        <v>51</v>
      </c>
      <c r="E31">
        <f t="shared" si="0"/>
        <v>280.47937650126187</v>
      </c>
      <c r="F31">
        <f t="shared" si="1"/>
        <v>280.5</v>
      </c>
      <c r="G31">
        <f t="shared" si="4"/>
        <v>-1.2871999999333639E-2</v>
      </c>
      <c r="I31">
        <f t="shared" si="5"/>
        <v>-1.2871999999333639E-2</v>
      </c>
      <c r="O31">
        <f t="shared" ca="1" si="2"/>
        <v>-3.8894015832845272E-3</v>
      </c>
      <c r="Q31" s="2">
        <f t="shared" si="3"/>
        <v>13250.735000000001</v>
      </c>
    </row>
    <row r="32" spans="1:17">
      <c r="A32" s="40" t="s">
        <v>57</v>
      </c>
      <c r="B32" s="41" t="s">
        <v>37</v>
      </c>
      <c r="C32" s="42">
        <v>28274.245999999999</v>
      </c>
      <c r="D32" s="42" t="s">
        <v>51</v>
      </c>
      <c r="E32">
        <f t="shared" si="0"/>
        <v>288.50799304774006</v>
      </c>
      <c r="F32">
        <f t="shared" si="1"/>
        <v>288.5</v>
      </c>
      <c r="G32">
        <f t="shared" si="4"/>
        <v>4.9887999994098209E-3</v>
      </c>
      <c r="I32">
        <f t="shared" si="5"/>
        <v>4.9887999994098209E-3</v>
      </c>
      <c r="O32">
        <f t="shared" ca="1" si="2"/>
        <v>-4.0195376802676531E-3</v>
      </c>
      <c r="Q32" s="2">
        <f t="shared" si="3"/>
        <v>13255.745999999999</v>
      </c>
    </row>
    <row r="33" spans="1:18">
      <c r="A33" s="40" t="s">
        <v>57</v>
      </c>
      <c r="B33" s="41" t="s">
        <v>37</v>
      </c>
      <c r="C33" s="42">
        <v>28279.254000000001</v>
      </c>
      <c r="D33" s="42" t="s">
        <v>51</v>
      </c>
      <c r="E33">
        <f t="shared" si="0"/>
        <v>296.53180299880512</v>
      </c>
      <c r="F33">
        <f t="shared" si="1"/>
        <v>296.5</v>
      </c>
      <c r="G33">
        <f t="shared" si="4"/>
        <v>1.9849600001180079E-2</v>
      </c>
      <c r="I33">
        <f t="shared" si="5"/>
        <v>1.9849600001180079E-2</v>
      </c>
      <c r="O33">
        <f t="shared" ca="1" si="2"/>
        <v>-4.1496737772507798E-3</v>
      </c>
      <c r="Q33" s="2">
        <f t="shared" si="3"/>
        <v>13260.754000000001</v>
      </c>
    </row>
    <row r="34" spans="1:18">
      <c r="A34" s="40" t="s">
        <v>57</v>
      </c>
      <c r="B34" s="41" t="s">
        <v>37</v>
      </c>
      <c r="C34" s="42">
        <v>28436.526000000002</v>
      </c>
      <c r="D34" s="42" t="s">
        <v>51</v>
      </c>
      <c r="E34">
        <f t="shared" si="0"/>
        <v>548.51276119039869</v>
      </c>
      <c r="F34">
        <f t="shared" si="1"/>
        <v>548.5</v>
      </c>
      <c r="G34">
        <f t="shared" si="4"/>
        <v>7.9648000028100796E-3</v>
      </c>
      <c r="I34">
        <f t="shared" si="5"/>
        <v>7.9648000028100796E-3</v>
      </c>
      <c r="O34">
        <f t="shared" ca="1" si="2"/>
        <v>-8.2489608322192497E-3</v>
      </c>
      <c r="Q34" s="2">
        <f t="shared" si="3"/>
        <v>13418.026000000002</v>
      </c>
    </row>
    <row r="35" spans="1:18">
      <c r="A35" s="40" t="s">
        <v>57</v>
      </c>
      <c r="B35" s="41" t="s">
        <v>37</v>
      </c>
      <c r="C35" s="42">
        <v>28523.286</v>
      </c>
      <c r="D35" s="42" t="s">
        <v>51</v>
      </c>
      <c r="E35">
        <f t="shared" si="0"/>
        <v>687.51950067805149</v>
      </c>
      <c r="F35">
        <f t="shared" si="1"/>
        <v>687.5</v>
      </c>
      <c r="G35">
        <f t="shared" si="4"/>
        <v>1.2171200000011595E-2</v>
      </c>
      <c r="I35">
        <f t="shared" si="5"/>
        <v>1.2171200000011595E-2</v>
      </c>
      <c r="O35">
        <f t="shared" ca="1" si="2"/>
        <v>-1.0510075517301064E-2</v>
      </c>
      <c r="Q35" s="2">
        <f t="shared" si="3"/>
        <v>13504.786</v>
      </c>
    </row>
    <row r="36" spans="1:18">
      <c r="A36" s="40" t="s">
        <v>57</v>
      </c>
      <c r="B36" s="41" t="s">
        <v>37</v>
      </c>
      <c r="C36" s="42">
        <v>28601.269</v>
      </c>
      <c r="D36" s="42" t="s">
        <v>51</v>
      </c>
      <c r="E36">
        <f t="shared" si="0"/>
        <v>812.4637441712033</v>
      </c>
      <c r="F36">
        <f t="shared" si="1"/>
        <v>812.5</v>
      </c>
      <c r="G36">
        <f t="shared" si="4"/>
        <v>-2.2628799997619353E-2</v>
      </c>
      <c r="I36">
        <f t="shared" si="5"/>
        <v>-2.2628799997619353E-2</v>
      </c>
      <c r="O36">
        <f t="shared" ca="1" si="2"/>
        <v>-1.2543452032662408E-2</v>
      </c>
      <c r="Q36" s="2">
        <f t="shared" si="3"/>
        <v>13582.769</v>
      </c>
    </row>
    <row r="37" spans="1:18">
      <c r="A37" s="40" t="s">
        <v>57</v>
      </c>
      <c r="B37" s="41" t="s">
        <v>37</v>
      </c>
      <c r="C37" s="42">
        <v>28611.253000000001</v>
      </c>
      <c r="D37" s="42" t="s">
        <v>51</v>
      </c>
      <c r="E37">
        <f t="shared" si="0"/>
        <v>828.46009372220385</v>
      </c>
      <c r="F37">
        <f t="shared" si="1"/>
        <v>828.5</v>
      </c>
      <c r="G37">
        <f t="shared" si="4"/>
        <v>-2.4907199996960117E-2</v>
      </c>
      <c r="I37">
        <f t="shared" si="5"/>
        <v>-2.4907199996960117E-2</v>
      </c>
      <c r="O37">
        <f t="shared" ca="1" si="2"/>
        <v>-1.2803724226628661E-2</v>
      </c>
      <c r="Q37" s="2">
        <f t="shared" si="3"/>
        <v>13592.753000000001</v>
      </c>
    </row>
    <row r="38" spans="1:18">
      <c r="A38" t="s">
        <v>36</v>
      </c>
      <c r="B38" s="6" t="s">
        <v>37</v>
      </c>
      <c r="C38" s="24">
        <v>52635.734499999999</v>
      </c>
      <c r="D38" s="24">
        <v>6.9999999999999999E-4</v>
      </c>
      <c r="E38">
        <f t="shared" si="0"/>
        <v>39320.447659380297</v>
      </c>
      <c r="F38">
        <f>ROUND(2*E38,0)/2+1</f>
        <v>39321.5</v>
      </c>
      <c r="G38">
        <f>+C38-(C$7+F38*C$8)</f>
        <v>-0.65681039999617497</v>
      </c>
      <c r="K38">
        <f>+G38</f>
        <v>-0.65681039999617497</v>
      </c>
      <c r="O38">
        <f t="shared" ca="1" si="2"/>
        <v>-0.6389698218730625</v>
      </c>
      <c r="Q38" s="2">
        <f t="shared" si="3"/>
        <v>37617.234499999999</v>
      </c>
      <c r="R38" t="s">
        <v>43</v>
      </c>
    </row>
    <row r="39" spans="1:18">
      <c r="A39" t="s">
        <v>36</v>
      </c>
      <c r="B39" s="6" t="s">
        <v>30</v>
      </c>
      <c r="C39" s="24">
        <v>52639.790500000003</v>
      </c>
      <c r="D39" s="24">
        <v>5.9999999999999995E-4</v>
      </c>
      <c r="E39">
        <f t="shared" si="0"/>
        <v>39326.946176385398</v>
      </c>
      <c r="F39">
        <f t="shared" ref="F39:F44" si="6">ROUND(2*E39,0)/2+1</f>
        <v>39328</v>
      </c>
      <c r="G39">
        <f t="shared" si="4"/>
        <v>-0.6577359999937471</v>
      </c>
      <c r="K39">
        <f>+G39</f>
        <v>-0.6577359999937471</v>
      </c>
      <c r="O39">
        <f t="shared" ca="1" si="2"/>
        <v>-0.63907555745186129</v>
      </c>
      <c r="Q39" s="2">
        <f t="shared" si="3"/>
        <v>37621.290500000003</v>
      </c>
      <c r="R39" t="s">
        <v>43</v>
      </c>
    </row>
    <row r="40" spans="1:18">
      <c r="A40" t="s">
        <v>36</v>
      </c>
      <c r="B40" s="6" t="s">
        <v>30</v>
      </c>
      <c r="C40" s="24">
        <v>52641.663399999998</v>
      </c>
      <c r="D40" s="24">
        <v>8.0000000000000004E-4</v>
      </c>
      <c r="E40">
        <f t="shared" si="0"/>
        <v>39329.946933904823</v>
      </c>
      <c r="F40">
        <f t="shared" si="6"/>
        <v>39331</v>
      </c>
      <c r="G40">
        <f t="shared" si="4"/>
        <v>-0.65726320000248961</v>
      </c>
      <c r="K40">
        <f>+G40</f>
        <v>-0.65726320000248961</v>
      </c>
      <c r="O40">
        <f t="shared" ca="1" si="2"/>
        <v>-0.6391243584882299</v>
      </c>
      <c r="Q40" s="2">
        <f t="shared" si="3"/>
        <v>37623.163399999998</v>
      </c>
      <c r="R40" t="s">
        <v>43</v>
      </c>
    </row>
    <row r="41" spans="1:18">
      <c r="A41" s="14" t="s">
        <v>34</v>
      </c>
      <c r="B41" s="17" t="s">
        <v>30</v>
      </c>
      <c r="C41" s="25">
        <v>53017.697999999997</v>
      </c>
      <c r="D41" s="14">
        <v>2E-3</v>
      </c>
      <c r="E41">
        <f t="shared" si="0"/>
        <v>39932.428995690723</v>
      </c>
      <c r="F41">
        <f t="shared" si="6"/>
        <v>39933.5</v>
      </c>
      <c r="G41">
        <f t="shared" si="4"/>
        <v>-0.66845920000196202</v>
      </c>
      <c r="K41">
        <f>+G41</f>
        <v>-0.66845920000196202</v>
      </c>
      <c r="O41">
        <f t="shared" ca="1" si="2"/>
        <v>-0.64892523329227159</v>
      </c>
      <c r="Q41" s="2">
        <f t="shared" si="3"/>
        <v>37999.197999999997</v>
      </c>
      <c r="R41" t="s">
        <v>43</v>
      </c>
    </row>
    <row r="42" spans="1:18">
      <c r="A42" s="40" t="s">
        <v>120</v>
      </c>
      <c r="B42" s="41" t="s">
        <v>37</v>
      </c>
      <c r="C42" s="42">
        <v>57062.696499999998</v>
      </c>
      <c r="D42" s="42" t="s">
        <v>51</v>
      </c>
      <c r="E42">
        <f t="shared" si="0"/>
        <v>46413.319414287507</v>
      </c>
      <c r="F42">
        <f t="shared" si="6"/>
        <v>46414.5</v>
      </c>
      <c r="G42">
        <f t="shared" si="4"/>
        <v>-0.73685359999944922</v>
      </c>
      <c r="J42">
        <f>+G42</f>
        <v>-0.73685359999944922</v>
      </c>
      <c r="O42">
        <f t="shared" ca="1" si="2"/>
        <v>-0.75435173886072659</v>
      </c>
      <c r="Q42" s="2">
        <f t="shared" si="3"/>
        <v>42044.196499999998</v>
      </c>
      <c r="R42" s="54" t="s">
        <v>134</v>
      </c>
    </row>
    <row r="43" spans="1:18">
      <c r="A43" s="40" t="s">
        <v>120</v>
      </c>
      <c r="B43" s="41" t="s">
        <v>30</v>
      </c>
      <c r="C43" s="42">
        <v>57112.942999999999</v>
      </c>
      <c r="D43" s="42" t="s">
        <v>51</v>
      </c>
      <c r="E43">
        <f t="shared" si="0"/>
        <v>46493.82427984383</v>
      </c>
      <c r="F43">
        <f t="shared" si="6"/>
        <v>46495</v>
      </c>
      <c r="G43">
        <f t="shared" si="4"/>
        <v>-0.73381679999874905</v>
      </c>
      <c r="J43">
        <f>+G43</f>
        <v>-0.73381679999874905</v>
      </c>
      <c r="O43">
        <f t="shared" ca="1" si="2"/>
        <v>-0.75566123333661928</v>
      </c>
      <c r="Q43" s="2">
        <f t="shared" si="3"/>
        <v>42094.442999999999</v>
      </c>
      <c r="R43" s="54" t="s">
        <v>134</v>
      </c>
    </row>
    <row r="44" spans="1:18">
      <c r="A44" s="40" t="s">
        <v>120</v>
      </c>
      <c r="B44" s="41" t="s">
        <v>30</v>
      </c>
      <c r="C44" s="42">
        <v>57117.935899999997</v>
      </c>
      <c r="D44" s="42" t="s">
        <v>51</v>
      </c>
      <c r="E44">
        <f t="shared" si="0"/>
        <v>46501.823896597954</v>
      </c>
      <c r="F44">
        <f t="shared" si="6"/>
        <v>46503</v>
      </c>
      <c r="G44">
        <f t="shared" si="4"/>
        <v>-0.73405600000114646</v>
      </c>
      <c r="J44">
        <f>+G44</f>
        <v>-0.73405600000114646</v>
      </c>
      <c r="O44">
        <f t="shared" ca="1" si="2"/>
        <v>-0.75579136943360237</v>
      </c>
      <c r="Q44" s="2">
        <f t="shared" si="3"/>
        <v>42099.435899999997</v>
      </c>
      <c r="R44" s="54" t="s">
        <v>134</v>
      </c>
    </row>
    <row r="45" spans="1:18">
      <c r="C45" s="24"/>
      <c r="D45" s="24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45"/>
  <sheetViews>
    <sheetView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129</v>
      </c>
    </row>
    <row r="2" spans="1:6">
      <c r="A2" t="s">
        <v>25</v>
      </c>
      <c r="B2" s="11" t="s">
        <v>29</v>
      </c>
      <c r="F2" s="53" t="s">
        <v>133</v>
      </c>
    </row>
    <row r="3" spans="1:6" ht="13.5" thickBot="1"/>
    <row r="4" spans="1:6" ht="13.5" thickBot="1">
      <c r="A4" s="8" t="s">
        <v>0</v>
      </c>
      <c r="C4" s="12">
        <v>28094.488000000001</v>
      </c>
      <c r="D4" s="13">
        <v>0.62414239999999999</v>
      </c>
    </row>
    <row r="5" spans="1:6">
      <c r="A5" s="43" t="s">
        <v>121</v>
      </c>
      <c r="B5" s="27"/>
      <c r="C5" s="44">
        <v>-9.5</v>
      </c>
      <c r="D5" s="27" t="s">
        <v>122</v>
      </c>
    </row>
    <row r="6" spans="1:6">
      <c r="A6" s="8" t="s">
        <v>1</v>
      </c>
    </row>
    <row r="7" spans="1:6">
      <c r="A7" t="s">
        <v>2</v>
      </c>
      <c r="C7">
        <f>+C4</f>
        <v>28094.488000000001</v>
      </c>
    </row>
    <row r="8" spans="1:6">
      <c r="A8" t="s">
        <v>3</v>
      </c>
      <c r="C8">
        <f>+D4</f>
        <v>0.62414239999999999</v>
      </c>
      <c r="D8" t="s">
        <v>130</v>
      </c>
    </row>
    <row r="9" spans="1:6">
      <c r="A9" s="45" t="s">
        <v>123</v>
      </c>
      <c r="B9" s="46">
        <v>21</v>
      </c>
      <c r="C9" s="47" t="str">
        <f>"F"&amp;B9</f>
        <v>F21</v>
      </c>
      <c r="D9" s="22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15</v>
      </c>
      <c r="C11" s="48">
        <f ca="1">INTERCEPT(INDIRECT($D$9):G978,INDIRECT($C$9):F978)</f>
        <v>0.62479149479723373</v>
      </c>
      <c r="D11" s="6"/>
    </row>
    <row r="12" spans="1:6">
      <c r="A12" t="s">
        <v>16</v>
      </c>
      <c r="C12" s="48">
        <f ca="1">SLOPE(INDIRECT($D$9):G978,INDIRECT($C$9):F978)</f>
        <v>-1.6267012122957205E-5</v>
      </c>
      <c r="D12" s="6"/>
    </row>
    <row r="13" spans="1:6">
      <c r="A13" t="s">
        <v>19</v>
      </c>
      <c r="C13" s="6"/>
      <c r="D13" s="6"/>
    </row>
    <row r="14" spans="1:6">
      <c r="A14" t="s">
        <v>24</v>
      </c>
    </row>
    <row r="15" spans="1:6">
      <c r="A15" s="3" t="s">
        <v>17</v>
      </c>
      <c r="C15" s="18">
        <v>53017.697999999997</v>
      </c>
      <c r="E15" s="49" t="s">
        <v>124</v>
      </c>
      <c r="F15" s="44">
        <v>1</v>
      </c>
    </row>
    <row r="16" spans="1:6">
      <c r="A16" s="8" t="s">
        <v>4</v>
      </c>
      <c r="C16">
        <f ca="1">+C8+C12</f>
        <v>0.624126132987877</v>
      </c>
      <c r="E16" s="49" t="s">
        <v>125</v>
      </c>
      <c r="F16" s="50">
        <f ca="1">NOW()+15018.5+$C$5/24</f>
        <v>60335.696499189813</v>
      </c>
    </row>
    <row r="17" spans="1:17" ht="13.5" thickBot="1">
      <c r="E17" s="49" t="s">
        <v>126</v>
      </c>
      <c r="F17" s="50">
        <f ca="1">ROUND(2*(F16-$C$7)/$C$8,0)/2+F15</f>
        <v>51658</v>
      </c>
    </row>
    <row r="18" spans="1:17">
      <c r="A18" s="8" t="s">
        <v>5</v>
      </c>
      <c r="C18" s="4">
        <f>+C15</f>
        <v>53017.697999999997</v>
      </c>
      <c r="D18" s="5">
        <f ca="1">+C16</f>
        <v>0.624126132987877</v>
      </c>
      <c r="E18" s="49" t="s">
        <v>127</v>
      </c>
      <c r="F18" s="22">
        <f ca="1">ROUND(2*(F16-$C$15)/$C$16,0)/2+F15</f>
        <v>11726</v>
      </c>
    </row>
    <row r="19" spans="1:17" ht="13.5" thickTop="1">
      <c r="C19">
        <f>COUNT(C21:C2722)</f>
        <v>24</v>
      </c>
      <c r="E19" s="49" t="s">
        <v>128</v>
      </c>
      <c r="F19" s="51">
        <f ca="1">+$C$15+$C$16*F18-15018.5-$C$5/24</f>
        <v>45318.096868749177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48</v>
      </c>
      <c r="I20" s="10" t="s">
        <v>51</v>
      </c>
      <c r="J20" s="10" t="s">
        <v>45</v>
      </c>
      <c r="K20" s="10" t="s">
        <v>43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40" t="s">
        <v>57</v>
      </c>
      <c r="B21" s="41" t="s">
        <v>37</v>
      </c>
      <c r="C21" s="42">
        <v>27430.385999999999</v>
      </c>
      <c r="D21" s="42" t="s">
        <v>51</v>
      </c>
      <c r="E21">
        <f t="shared" ref="E21:E44" si="0">+(C21-C$7)/C$8</f>
        <v>-1064.0232100879584</v>
      </c>
      <c r="F21" s="19">
        <f t="shared" ref="F21:F37" si="1">ROUND(2*E21,0)/2-1</f>
        <v>-1065</v>
      </c>
      <c r="G21">
        <f t="shared" ref="G21:G44" si="2">+C21-(C$7+F21*C$8)</f>
        <v>0.60965599999690312</v>
      </c>
      <c r="I21">
        <f>+G21</f>
        <v>0.60965599999690312</v>
      </c>
      <c r="O21">
        <f t="shared" ref="O21:O44" ca="1" si="3">+C$11+C$12*$F21</f>
        <v>0.6421158627081831</v>
      </c>
      <c r="Q21" s="2">
        <f t="shared" ref="Q21:Q44" si="4">+C21-15018.5</f>
        <v>12411.885999999999</v>
      </c>
    </row>
    <row r="22" spans="1:17">
      <c r="A22" s="40" t="s">
        <v>57</v>
      </c>
      <c r="B22" s="41" t="s">
        <v>37</v>
      </c>
      <c r="C22" s="42">
        <v>27445.379000000001</v>
      </c>
      <c r="D22" s="42" t="s">
        <v>51</v>
      </c>
      <c r="E22">
        <f t="shared" si="0"/>
        <v>-1040.0014483874199</v>
      </c>
      <c r="F22" s="19">
        <f t="shared" si="1"/>
        <v>-1041</v>
      </c>
      <c r="G22">
        <f t="shared" si="2"/>
        <v>0.62323839999953634</v>
      </c>
      <c r="I22">
        <f>+G22</f>
        <v>0.62323839999953634</v>
      </c>
      <c r="O22">
        <f t="shared" ca="1" si="3"/>
        <v>0.64172545441723217</v>
      </c>
      <c r="Q22" s="2">
        <f t="shared" si="4"/>
        <v>12426.879000000001</v>
      </c>
    </row>
    <row r="23" spans="1:17">
      <c r="A23" s="40" t="s">
        <v>57</v>
      </c>
      <c r="B23" s="41" t="s">
        <v>37</v>
      </c>
      <c r="C23" s="42">
        <v>27560.213</v>
      </c>
      <c r="D23" s="42" t="s">
        <v>51</v>
      </c>
      <c r="E23">
        <f t="shared" si="0"/>
        <v>-856.01458897841496</v>
      </c>
      <c r="F23" s="19">
        <f t="shared" si="1"/>
        <v>-857</v>
      </c>
      <c r="G23">
        <f t="shared" si="2"/>
        <v>0.61503679999805172</v>
      </c>
      <c r="I23">
        <f>+G23</f>
        <v>0.61503679999805172</v>
      </c>
      <c r="O23">
        <f t="shared" ca="1" si="3"/>
        <v>0.63873232418660808</v>
      </c>
      <c r="Q23" s="2">
        <f t="shared" si="4"/>
        <v>12541.713</v>
      </c>
    </row>
    <row r="24" spans="1:17">
      <c r="A24" s="40" t="s">
        <v>57</v>
      </c>
      <c r="B24" s="41" t="s">
        <v>37</v>
      </c>
      <c r="C24" s="42">
        <v>27947.197</v>
      </c>
      <c r="D24" s="42" t="s">
        <v>51</v>
      </c>
      <c r="E24">
        <f t="shared" si="0"/>
        <v>-235.98941523601198</v>
      </c>
      <c r="F24" s="19">
        <f t="shared" si="1"/>
        <v>-237</v>
      </c>
      <c r="G24">
        <f t="shared" si="2"/>
        <v>0.6307487999984005</v>
      </c>
      <c r="I24">
        <f>+G24</f>
        <v>0.6307487999984005</v>
      </c>
      <c r="O24">
        <f t="shared" ca="1" si="3"/>
        <v>0.62864677667037461</v>
      </c>
      <c r="Q24" s="2">
        <f t="shared" si="4"/>
        <v>12928.697</v>
      </c>
    </row>
    <row r="25" spans="1:17">
      <c r="A25" s="40" t="s">
        <v>57</v>
      </c>
      <c r="B25" s="41" t="s">
        <v>37</v>
      </c>
      <c r="C25" s="42">
        <v>27957.192999999999</v>
      </c>
      <c r="D25" s="42" t="s">
        <v>51</v>
      </c>
      <c r="E25">
        <f t="shared" si="0"/>
        <v>-219.97383930334149</v>
      </c>
      <c r="F25" s="19">
        <f t="shared" si="1"/>
        <v>-221</v>
      </c>
      <c r="G25">
        <f t="shared" si="2"/>
        <v>0.64047039999786648</v>
      </c>
      <c r="I25">
        <f>+G25</f>
        <v>0.64047039999786648</v>
      </c>
      <c r="O25">
        <f t="shared" ca="1" si="3"/>
        <v>0.62838650447640731</v>
      </c>
      <c r="Q25" s="2">
        <f t="shared" si="4"/>
        <v>12938.692999999999</v>
      </c>
    </row>
    <row r="26" spans="1:17">
      <c r="A26" s="14" t="s">
        <v>12</v>
      </c>
      <c r="B26" s="15" t="s">
        <v>30</v>
      </c>
      <c r="C26" s="14">
        <v>28094.488000000001</v>
      </c>
      <c r="D26" s="14"/>
      <c r="E26">
        <f t="shared" si="0"/>
        <v>0</v>
      </c>
      <c r="F26" s="19">
        <f t="shared" si="1"/>
        <v>-1</v>
      </c>
      <c r="G26">
        <f t="shared" si="2"/>
        <v>0.62414239999998244</v>
      </c>
      <c r="H26" s="52">
        <f>G26</f>
        <v>0.62414239999998244</v>
      </c>
      <c r="O26">
        <f t="shared" ca="1" si="3"/>
        <v>0.62480776180935671</v>
      </c>
      <c r="Q26" s="2">
        <f t="shared" si="4"/>
        <v>13075.988000000001</v>
      </c>
    </row>
    <row r="27" spans="1:17">
      <c r="A27" s="40" t="s">
        <v>57</v>
      </c>
      <c r="B27" s="41" t="s">
        <v>37</v>
      </c>
      <c r="C27" s="42">
        <v>28159.419000000002</v>
      </c>
      <c r="D27" s="42" t="s">
        <v>51</v>
      </c>
      <c r="E27">
        <f t="shared" si="0"/>
        <v>104.03234902804311</v>
      </c>
      <c r="F27" s="19">
        <f t="shared" si="1"/>
        <v>103</v>
      </c>
      <c r="G27">
        <f t="shared" si="2"/>
        <v>0.64433280000230297</v>
      </c>
      <c r="I27">
        <f t="shared" ref="I27:I37" si="5">+G27</f>
        <v>0.64433280000230297</v>
      </c>
      <c r="O27">
        <f t="shared" ca="1" si="3"/>
        <v>0.62311599254856909</v>
      </c>
      <c r="Q27" s="2">
        <f t="shared" si="4"/>
        <v>13140.919000000002</v>
      </c>
    </row>
    <row r="28" spans="1:17">
      <c r="A28" s="40" t="s">
        <v>57</v>
      </c>
      <c r="B28" s="41" t="s">
        <v>37</v>
      </c>
      <c r="C28" s="42">
        <v>28184.357</v>
      </c>
      <c r="D28" s="42" t="s">
        <v>51</v>
      </c>
      <c r="E28">
        <f t="shared" si="0"/>
        <v>143.98797453914167</v>
      </c>
      <c r="F28" s="19">
        <f t="shared" si="1"/>
        <v>143</v>
      </c>
      <c r="G28">
        <f t="shared" si="2"/>
        <v>0.61663679999765009</v>
      </c>
      <c r="I28">
        <f t="shared" si="5"/>
        <v>0.61663679999765009</v>
      </c>
      <c r="O28">
        <f t="shared" ca="1" si="3"/>
        <v>0.62246531206365086</v>
      </c>
      <c r="Q28" s="2">
        <f t="shared" si="4"/>
        <v>13165.857</v>
      </c>
    </row>
    <row r="29" spans="1:17">
      <c r="A29" s="40" t="s">
        <v>57</v>
      </c>
      <c r="B29" s="41" t="s">
        <v>37</v>
      </c>
      <c r="C29" s="42">
        <v>28249.277999999998</v>
      </c>
      <c r="D29" s="42" t="s">
        <v>51</v>
      </c>
      <c r="E29">
        <f t="shared" si="0"/>
        <v>248.00430158245496</v>
      </c>
      <c r="F29" s="19">
        <f t="shared" si="1"/>
        <v>247</v>
      </c>
      <c r="G29">
        <f t="shared" si="2"/>
        <v>0.62682719999793335</v>
      </c>
      <c r="I29">
        <f t="shared" si="5"/>
        <v>0.62682719999793335</v>
      </c>
      <c r="O29">
        <f t="shared" ca="1" si="3"/>
        <v>0.62077354280286334</v>
      </c>
      <c r="Q29" s="2">
        <f t="shared" si="4"/>
        <v>13230.777999999998</v>
      </c>
    </row>
    <row r="30" spans="1:17">
      <c r="A30" s="40" t="s">
        <v>57</v>
      </c>
      <c r="B30" s="41" t="s">
        <v>37</v>
      </c>
      <c r="C30" s="42">
        <v>28254.276999999998</v>
      </c>
      <c r="D30" s="42" t="s">
        <v>51</v>
      </c>
      <c r="E30">
        <f t="shared" si="0"/>
        <v>256.01369174726318</v>
      </c>
      <c r="F30" s="19">
        <f t="shared" si="1"/>
        <v>255</v>
      </c>
      <c r="G30">
        <f t="shared" si="2"/>
        <v>0.63268799999787007</v>
      </c>
      <c r="I30">
        <f t="shared" si="5"/>
        <v>0.63268799999787007</v>
      </c>
      <c r="O30">
        <f t="shared" ca="1" si="3"/>
        <v>0.62064340670587959</v>
      </c>
      <c r="Q30" s="2">
        <f t="shared" si="4"/>
        <v>13235.776999999998</v>
      </c>
    </row>
    <row r="31" spans="1:17">
      <c r="A31" s="40" t="s">
        <v>57</v>
      </c>
      <c r="B31" s="41" t="s">
        <v>37</v>
      </c>
      <c r="C31" s="42">
        <v>28269.235000000001</v>
      </c>
      <c r="D31" s="42" t="s">
        <v>51</v>
      </c>
      <c r="E31">
        <f t="shared" si="0"/>
        <v>279.97937650125897</v>
      </c>
      <c r="F31" s="19">
        <f t="shared" si="1"/>
        <v>279</v>
      </c>
      <c r="G31">
        <f t="shared" si="2"/>
        <v>0.61127040000064881</v>
      </c>
      <c r="I31">
        <f t="shared" si="5"/>
        <v>0.61127040000064881</v>
      </c>
      <c r="O31">
        <f t="shared" ca="1" si="3"/>
        <v>0.62025299841492865</v>
      </c>
      <c r="Q31" s="2">
        <f t="shared" si="4"/>
        <v>13250.735000000001</v>
      </c>
    </row>
    <row r="32" spans="1:17">
      <c r="A32" s="40" t="s">
        <v>57</v>
      </c>
      <c r="B32" s="41" t="s">
        <v>37</v>
      </c>
      <c r="C32" s="42">
        <v>28274.245999999999</v>
      </c>
      <c r="D32" s="42" t="s">
        <v>51</v>
      </c>
      <c r="E32">
        <f t="shared" si="0"/>
        <v>288.00799304773716</v>
      </c>
      <c r="F32" s="19">
        <f t="shared" si="1"/>
        <v>287</v>
      </c>
      <c r="G32">
        <f t="shared" si="2"/>
        <v>0.62913119999939227</v>
      </c>
      <c r="I32">
        <f t="shared" si="5"/>
        <v>0.62913119999939227</v>
      </c>
      <c r="O32">
        <f t="shared" ca="1" si="3"/>
        <v>0.620122862317945</v>
      </c>
      <c r="Q32" s="2">
        <f t="shared" si="4"/>
        <v>13255.745999999999</v>
      </c>
    </row>
    <row r="33" spans="1:18">
      <c r="A33" s="40" t="s">
        <v>57</v>
      </c>
      <c r="B33" s="41" t="s">
        <v>37</v>
      </c>
      <c r="C33" s="42">
        <v>28279.254000000001</v>
      </c>
      <c r="D33" s="42" t="s">
        <v>51</v>
      </c>
      <c r="E33">
        <f t="shared" si="0"/>
        <v>296.03180299880222</v>
      </c>
      <c r="F33" s="19">
        <f t="shared" si="1"/>
        <v>295</v>
      </c>
      <c r="G33">
        <f t="shared" si="2"/>
        <v>0.64399200000116252</v>
      </c>
      <c r="I33">
        <f t="shared" si="5"/>
        <v>0.64399200000116252</v>
      </c>
      <c r="O33">
        <f t="shared" ca="1" si="3"/>
        <v>0.61999272622096135</v>
      </c>
      <c r="Q33" s="2">
        <f t="shared" si="4"/>
        <v>13260.754000000001</v>
      </c>
    </row>
    <row r="34" spans="1:18">
      <c r="A34" s="40" t="s">
        <v>57</v>
      </c>
      <c r="B34" s="41" t="s">
        <v>37</v>
      </c>
      <c r="C34" s="42">
        <v>28436.526000000002</v>
      </c>
      <c r="D34" s="42" t="s">
        <v>51</v>
      </c>
      <c r="E34">
        <f t="shared" si="0"/>
        <v>548.01276119039574</v>
      </c>
      <c r="F34" s="19">
        <f t="shared" si="1"/>
        <v>547</v>
      </c>
      <c r="G34">
        <f t="shared" si="2"/>
        <v>0.63210719999915455</v>
      </c>
      <c r="I34">
        <f t="shared" si="5"/>
        <v>0.63210719999915455</v>
      </c>
      <c r="O34">
        <f t="shared" ca="1" si="3"/>
        <v>0.61589343916597616</v>
      </c>
      <c r="Q34" s="2">
        <f t="shared" si="4"/>
        <v>13418.026000000002</v>
      </c>
    </row>
    <row r="35" spans="1:18">
      <c r="A35" s="40" t="s">
        <v>57</v>
      </c>
      <c r="B35" s="41" t="s">
        <v>37</v>
      </c>
      <c r="C35" s="42">
        <v>28523.286</v>
      </c>
      <c r="D35" s="42" t="s">
        <v>51</v>
      </c>
      <c r="E35">
        <f t="shared" si="0"/>
        <v>687.01950067804864</v>
      </c>
      <c r="F35" s="19">
        <f t="shared" si="1"/>
        <v>686</v>
      </c>
      <c r="G35">
        <f t="shared" si="2"/>
        <v>0.63631359999999404</v>
      </c>
      <c r="I35">
        <f t="shared" si="5"/>
        <v>0.63631359999999404</v>
      </c>
      <c r="O35">
        <f t="shared" ca="1" si="3"/>
        <v>0.61363232448088512</v>
      </c>
      <c r="Q35" s="2">
        <f t="shared" si="4"/>
        <v>13504.786</v>
      </c>
    </row>
    <row r="36" spans="1:18">
      <c r="A36" s="40" t="s">
        <v>57</v>
      </c>
      <c r="B36" s="41" t="s">
        <v>37</v>
      </c>
      <c r="C36" s="42">
        <v>28601.269</v>
      </c>
      <c r="D36" s="42" t="s">
        <v>51</v>
      </c>
      <c r="E36">
        <f t="shared" si="0"/>
        <v>811.96374417120046</v>
      </c>
      <c r="F36" s="19">
        <f t="shared" si="1"/>
        <v>811</v>
      </c>
      <c r="G36">
        <f t="shared" si="2"/>
        <v>0.60151359999872511</v>
      </c>
      <c r="I36">
        <f t="shared" si="5"/>
        <v>0.60151359999872511</v>
      </c>
      <c r="O36">
        <f t="shared" ca="1" si="3"/>
        <v>0.61159894796551539</v>
      </c>
      <c r="Q36" s="2">
        <f t="shared" si="4"/>
        <v>13582.769</v>
      </c>
    </row>
    <row r="37" spans="1:18">
      <c r="A37" s="40" t="s">
        <v>57</v>
      </c>
      <c r="B37" s="41" t="s">
        <v>37</v>
      </c>
      <c r="C37" s="42">
        <v>28611.253000000001</v>
      </c>
      <c r="D37" s="42" t="s">
        <v>51</v>
      </c>
      <c r="E37">
        <f t="shared" si="0"/>
        <v>827.9600937222009</v>
      </c>
      <c r="F37" s="19">
        <f t="shared" si="1"/>
        <v>827</v>
      </c>
      <c r="G37">
        <f t="shared" si="2"/>
        <v>0.59923519999938435</v>
      </c>
      <c r="I37">
        <f t="shared" si="5"/>
        <v>0.59923519999938435</v>
      </c>
      <c r="O37">
        <f t="shared" ca="1" si="3"/>
        <v>0.6113386757715481</v>
      </c>
      <c r="Q37" s="2">
        <f t="shared" si="4"/>
        <v>13592.753000000001</v>
      </c>
    </row>
    <row r="38" spans="1:18">
      <c r="A38" t="s">
        <v>36</v>
      </c>
      <c r="B38" s="6" t="s">
        <v>37</v>
      </c>
      <c r="C38" s="24">
        <v>52635.734499999999</v>
      </c>
      <c r="D38" s="24">
        <v>6.9999999999999999E-4</v>
      </c>
      <c r="E38">
        <f t="shared" si="0"/>
        <v>39319.94765938029</v>
      </c>
      <c r="F38">
        <f t="shared" ref="F38:F44" si="6">ROUND(2*E38,0)/2</f>
        <v>39320</v>
      </c>
      <c r="G38">
        <f t="shared" si="2"/>
        <v>-3.2668000007106457E-2</v>
      </c>
      <c r="K38">
        <f>+G38</f>
        <v>-3.2668000007106457E-2</v>
      </c>
      <c r="O38">
        <f t="shared" ca="1" si="3"/>
        <v>-1.482742187744357E-2</v>
      </c>
      <c r="Q38" s="2">
        <f t="shared" si="4"/>
        <v>37617.234499999999</v>
      </c>
      <c r="R38" t="s">
        <v>43</v>
      </c>
    </row>
    <row r="39" spans="1:18">
      <c r="A39" t="s">
        <v>36</v>
      </c>
      <c r="B39" s="6" t="s">
        <v>30</v>
      </c>
      <c r="C39" s="24">
        <v>52639.790500000003</v>
      </c>
      <c r="D39" s="24">
        <v>5.9999999999999995E-4</v>
      </c>
      <c r="E39">
        <f t="shared" si="0"/>
        <v>39326.446176385391</v>
      </c>
      <c r="F39">
        <f t="shared" si="6"/>
        <v>39326.5</v>
      </c>
      <c r="G39">
        <f t="shared" si="2"/>
        <v>-3.3593599997402634E-2</v>
      </c>
      <c r="K39">
        <f>+G39</f>
        <v>-3.3593599997402634E-2</v>
      </c>
      <c r="O39">
        <f t="shared" ca="1" si="3"/>
        <v>-1.4933157456242796E-2</v>
      </c>
      <c r="Q39" s="2">
        <f t="shared" si="4"/>
        <v>37621.290500000003</v>
      </c>
      <c r="R39" t="s">
        <v>43</v>
      </c>
    </row>
    <row r="40" spans="1:18">
      <c r="A40" t="s">
        <v>36</v>
      </c>
      <c r="B40" s="6" t="s">
        <v>30</v>
      </c>
      <c r="C40" s="24">
        <v>52641.663399999998</v>
      </c>
      <c r="D40" s="24">
        <v>8.0000000000000004E-4</v>
      </c>
      <c r="E40">
        <f t="shared" si="0"/>
        <v>39329.446933904823</v>
      </c>
      <c r="F40">
        <f t="shared" si="6"/>
        <v>39329.5</v>
      </c>
      <c r="G40">
        <f t="shared" si="2"/>
        <v>-3.3120800006145146E-2</v>
      </c>
      <c r="K40">
        <f>+G40</f>
        <v>-3.3120800006145146E-2</v>
      </c>
      <c r="O40">
        <f t="shared" ca="1" si="3"/>
        <v>-1.4981958492611636E-2</v>
      </c>
      <c r="Q40" s="2">
        <f t="shared" si="4"/>
        <v>37623.163399999998</v>
      </c>
      <c r="R40" t="s">
        <v>43</v>
      </c>
    </row>
    <row r="41" spans="1:18">
      <c r="A41" s="14" t="s">
        <v>34</v>
      </c>
      <c r="B41" s="17" t="s">
        <v>30</v>
      </c>
      <c r="C41" s="25">
        <v>53017.697999999997</v>
      </c>
      <c r="D41" s="14">
        <v>2E-3</v>
      </c>
      <c r="E41">
        <f t="shared" si="0"/>
        <v>39931.928995690723</v>
      </c>
      <c r="F41">
        <f t="shared" si="6"/>
        <v>39932</v>
      </c>
      <c r="G41">
        <f t="shared" si="2"/>
        <v>-4.4316800005617552E-2</v>
      </c>
      <c r="K41">
        <f>+G41</f>
        <v>-4.4316800005617552E-2</v>
      </c>
      <c r="O41">
        <f t="shared" ca="1" si="3"/>
        <v>-2.4782833296693396E-2</v>
      </c>
      <c r="Q41" s="2">
        <f t="shared" si="4"/>
        <v>37999.197999999997</v>
      </c>
      <c r="R41" t="s">
        <v>43</v>
      </c>
    </row>
    <row r="42" spans="1:18">
      <c r="A42" s="40" t="s">
        <v>120</v>
      </c>
      <c r="B42" s="41" t="s">
        <v>37</v>
      </c>
      <c r="C42" s="42">
        <v>57062.696499999998</v>
      </c>
      <c r="D42" s="42" t="s">
        <v>51</v>
      </c>
      <c r="E42">
        <f t="shared" si="0"/>
        <v>46412.819414287507</v>
      </c>
      <c r="F42">
        <f t="shared" si="6"/>
        <v>46413</v>
      </c>
      <c r="G42">
        <f t="shared" si="2"/>
        <v>-0.11271120000310475</v>
      </c>
      <c r="J42">
        <f>+G42</f>
        <v>-0.11271120000310475</v>
      </c>
      <c r="O42">
        <f t="shared" ca="1" si="3"/>
        <v>-0.13020933886557906</v>
      </c>
      <c r="Q42" s="2">
        <f t="shared" si="4"/>
        <v>42044.196499999998</v>
      </c>
      <c r="R42" t="s">
        <v>45</v>
      </c>
    </row>
    <row r="43" spans="1:18">
      <c r="A43" s="40" t="s">
        <v>120</v>
      </c>
      <c r="B43" s="41" t="s">
        <v>30</v>
      </c>
      <c r="C43" s="42">
        <v>57112.942999999999</v>
      </c>
      <c r="D43" s="42" t="s">
        <v>51</v>
      </c>
      <c r="E43">
        <f t="shared" si="0"/>
        <v>46493.32427984383</v>
      </c>
      <c r="F43">
        <f t="shared" si="6"/>
        <v>46493.5</v>
      </c>
      <c r="G43">
        <f t="shared" si="2"/>
        <v>-0.10967440000240458</v>
      </c>
      <c r="J43">
        <f>+G43</f>
        <v>-0.10967440000240458</v>
      </c>
      <c r="O43">
        <f t="shared" ca="1" si="3"/>
        <v>-0.13151883334147707</v>
      </c>
      <c r="Q43" s="2">
        <f t="shared" si="4"/>
        <v>42094.442999999999</v>
      </c>
      <c r="R43" t="s">
        <v>45</v>
      </c>
    </row>
    <row r="44" spans="1:18">
      <c r="A44" s="40" t="s">
        <v>120</v>
      </c>
      <c r="B44" s="41" t="s">
        <v>30</v>
      </c>
      <c r="C44" s="42">
        <v>57117.935899999997</v>
      </c>
      <c r="D44" s="42" t="s">
        <v>51</v>
      </c>
      <c r="E44">
        <f t="shared" si="0"/>
        <v>46501.323896597947</v>
      </c>
      <c r="F44">
        <f t="shared" si="6"/>
        <v>46501.5</v>
      </c>
      <c r="G44">
        <f t="shared" si="2"/>
        <v>-0.10991360000480199</v>
      </c>
      <c r="J44">
        <f>+G44</f>
        <v>-0.10991360000480199</v>
      </c>
      <c r="O44">
        <f t="shared" ca="1" si="3"/>
        <v>-0.13164896943846072</v>
      </c>
      <c r="Q44" s="2">
        <f t="shared" si="4"/>
        <v>42099.435899999997</v>
      </c>
      <c r="R44" t="s">
        <v>45</v>
      </c>
    </row>
    <row r="45" spans="1:18">
      <c r="C45" s="24"/>
      <c r="D45" s="2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F37" sqref="F3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25</v>
      </c>
      <c r="B2" s="11" t="s">
        <v>29</v>
      </c>
    </row>
    <row r="3" spans="1:4" ht="13.5" thickBot="1"/>
    <row r="4" spans="1:4" ht="13.5" thickBot="1">
      <c r="A4" s="8" t="s">
        <v>0</v>
      </c>
      <c r="C4" s="12">
        <v>28094.488000000001</v>
      </c>
      <c r="D4" s="13">
        <v>0.62414239999999999</v>
      </c>
    </row>
    <row r="6" spans="1:4">
      <c r="A6" s="8" t="s">
        <v>1</v>
      </c>
    </row>
    <row r="7" spans="1:4">
      <c r="A7" t="s">
        <v>2</v>
      </c>
      <c r="C7">
        <f>+C4</f>
        <v>28094.488000000001</v>
      </c>
    </row>
    <row r="8" spans="1:4">
      <c r="A8" t="s">
        <v>3</v>
      </c>
      <c r="C8">
        <f>+D4</f>
        <v>0.62414239999999999</v>
      </c>
    </row>
    <row r="10" spans="1:4" ht="13.5" thickBot="1">
      <c r="C10" s="7" t="s">
        <v>20</v>
      </c>
      <c r="D10" s="7" t="s">
        <v>21</v>
      </c>
    </row>
    <row r="11" spans="1:4">
      <c r="A11" t="s">
        <v>15</v>
      </c>
      <c r="C11">
        <f>INTERCEPT(G21:G983,$F21:$F983)</f>
        <v>1.2264869844370516E-4</v>
      </c>
      <c r="D11" s="6"/>
    </row>
    <row r="12" spans="1:4">
      <c r="A12" t="s">
        <v>16</v>
      </c>
      <c r="C12">
        <f>SLOPE(G21:G983,$F21:$F983)</f>
        <v>-9.139020411156517E-7</v>
      </c>
      <c r="D12" s="6"/>
    </row>
    <row r="13" spans="1:4">
      <c r="A13" t="s">
        <v>19</v>
      </c>
      <c r="C13" s="6"/>
      <c r="D13" s="6"/>
    </row>
    <row r="14" spans="1:4">
      <c r="A14" t="s">
        <v>24</v>
      </c>
    </row>
    <row r="15" spans="1:4">
      <c r="A15" s="3" t="s">
        <v>17</v>
      </c>
      <c r="C15" s="18">
        <v>53017.697999999997</v>
      </c>
    </row>
    <row r="16" spans="1:4">
      <c r="A16" s="8" t="s">
        <v>4</v>
      </c>
      <c r="C16">
        <f>+C8+C12</f>
        <v>0.62414148609795883</v>
      </c>
    </row>
    <row r="17" spans="1:17" ht="13.5" thickBot="1"/>
    <row r="18" spans="1:17">
      <c r="A18" s="8" t="s">
        <v>5</v>
      </c>
      <c r="C18" s="4">
        <f>+C15</f>
        <v>53017.697999999997</v>
      </c>
      <c r="D18" s="5">
        <f>+C16</f>
        <v>0.62414148609795883</v>
      </c>
    </row>
    <row r="19" spans="1:17" ht="13.5" thickTop="1">
      <c r="C19">
        <f>COUNT(C21:C2722)</f>
        <v>5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28094.488000000001</v>
      </c>
      <c r="D21" s="15" t="s">
        <v>31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+C$11+C$12*$F21</f>
        <v>1.2264869844370516E-4</v>
      </c>
      <c r="Q21" s="2">
        <f>+C21-15018.5</f>
        <v>13075.988000000001</v>
      </c>
    </row>
    <row r="22" spans="1:17">
      <c r="A22" s="14" t="s">
        <v>34</v>
      </c>
      <c r="B22" s="17" t="s">
        <v>30</v>
      </c>
      <c r="C22" s="18">
        <v>53017.697999999997</v>
      </c>
      <c r="D22" s="15">
        <v>2E-3</v>
      </c>
      <c r="E22">
        <f>+(C22-C$7)/C$8</f>
        <v>39931.928995690723</v>
      </c>
      <c r="F22">
        <f>ROUND(2*E22,0)/2</f>
        <v>39932</v>
      </c>
      <c r="G22">
        <f>+C22-(C$7+F22*C$8)</f>
        <v>-4.4316800005617552E-2</v>
      </c>
      <c r="I22">
        <f>+G22</f>
        <v>-4.4316800005617552E-2</v>
      </c>
      <c r="O22">
        <f>+C$11+C$12*$F22</f>
        <v>-3.6371287607386504E-2</v>
      </c>
      <c r="Q22" s="2">
        <f>+C22-15018.5</f>
        <v>37999.197999999997</v>
      </c>
    </row>
    <row r="23" spans="1:17">
      <c r="A23" t="s">
        <v>36</v>
      </c>
      <c r="B23" s="6" t="s">
        <v>37</v>
      </c>
      <c r="C23" s="6">
        <v>52635.734499999999</v>
      </c>
      <c r="D23" s="6">
        <v>6.9999999999999999E-4</v>
      </c>
      <c r="E23">
        <f>+(C23-C$7)/C$8</f>
        <v>39319.94765938029</v>
      </c>
      <c r="F23">
        <f>ROUND(2*E23,0)/2</f>
        <v>39320</v>
      </c>
      <c r="G23">
        <f>+C23-(C$7+F23*C$8)</f>
        <v>-3.2668000007106457E-2</v>
      </c>
      <c r="I23">
        <f>+G23</f>
        <v>-3.2668000007106457E-2</v>
      </c>
      <c r="O23">
        <f>+C$11+C$12*$F23</f>
        <v>-3.5811979558223725E-2</v>
      </c>
      <c r="Q23" s="2">
        <f>+C23-15018.5</f>
        <v>37617.234499999999</v>
      </c>
    </row>
    <row r="24" spans="1:17">
      <c r="A24" t="s">
        <v>36</v>
      </c>
      <c r="B24" s="6" t="s">
        <v>30</v>
      </c>
      <c r="C24" s="6">
        <v>52639.790500000003</v>
      </c>
      <c r="D24" s="6">
        <v>5.9999999999999995E-4</v>
      </c>
      <c r="E24">
        <f>+(C24-C$7)/C$8</f>
        <v>39326.446176385391</v>
      </c>
      <c r="F24">
        <f>ROUND(2*E24,0)/2</f>
        <v>39326.5</v>
      </c>
      <c r="G24">
        <f>+C24-(C$7+F24*C$8)</f>
        <v>-3.3593599997402634E-2</v>
      </c>
      <c r="I24">
        <f>+G24</f>
        <v>-3.3593599997402634E-2</v>
      </c>
      <c r="O24">
        <f>+C$11+C$12*$F24</f>
        <v>-3.581791992149097E-2</v>
      </c>
      <c r="Q24" s="2">
        <f>+C24-15018.5</f>
        <v>37621.290500000003</v>
      </c>
    </row>
    <row r="25" spans="1:17">
      <c r="A25" t="s">
        <v>36</v>
      </c>
      <c r="B25" s="6" t="s">
        <v>30</v>
      </c>
      <c r="C25" s="6">
        <v>52641.663399999998</v>
      </c>
      <c r="D25" s="6">
        <v>8.0000000000000004E-4</v>
      </c>
      <c r="E25">
        <f>+(C25-C$7)/C$8</f>
        <v>39329.446933904823</v>
      </c>
      <c r="F25">
        <f>ROUND(2*E25,0)/2</f>
        <v>39329.5</v>
      </c>
      <c r="G25">
        <f>+C25-(C$7+F25*C$8)</f>
        <v>-3.3120800006145146E-2</v>
      </c>
      <c r="I25">
        <f>+G25</f>
        <v>-3.3120800006145146E-2</v>
      </c>
      <c r="O25">
        <f>+C$11+C$12*$F25</f>
        <v>-3.5820661627614311E-2</v>
      </c>
      <c r="Q25" s="2">
        <f>+C25-15018.5</f>
        <v>37623.163399999998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topLeftCell="A8" workbookViewId="0">
      <selection activeCell="A12" sqref="A12:D30"/>
    </sheetView>
  </sheetViews>
  <sheetFormatPr defaultRowHeight="12.75"/>
  <cols>
    <col min="1" max="1" width="19.7109375" style="24" customWidth="1"/>
    <col min="2" max="2" width="4.42578125" style="27" customWidth="1"/>
    <col min="3" max="3" width="12.7109375" style="24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24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26" t="s">
        <v>41</v>
      </c>
      <c r="I1" s="28" t="s">
        <v>42</v>
      </c>
      <c r="J1" s="29" t="s">
        <v>43</v>
      </c>
    </row>
    <row r="2" spans="1:16">
      <c r="I2" s="30" t="s">
        <v>44</v>
      </c>
      <c r="J2" s="31" t="s">
        <v>45</v>
      </c>
    </row>
    <row r="3" spans="1:16">
      <c r="A3" s="32" t="s">
        <v>46</v>
      </c>
      <c r="I3" s="30" t="s">
        <v>47</v>
      </c>
      <c r="J3" s="31" t="s">
        <v>48</v>
      </c>
    </row>
    <row r="4" spans="1:16">
      <c r="I4" s="30" t="s">
        <v>49</v>
      </c>
      <c r="J4" s="31" t="s">
        <v>48</v>
      </c>
    </row>
    <row r="5" spans="1:16" ht="13.5" thickBot="1">
      <c r="I5" s="33" t="s">
        <v>50</v>
      </c>
      <c r="J5" s="34" t="s">
        <v>51</v>
      </c>
    </row>
    <row r="10" spans="1:16" ht="13.5" thickBot="1"/>
    <row r="11" spans="1:16" ht="12.75" customHeight="1" thickBot="1">
      <c r="A11" s="24" t="str">
        <f t="shared" ref="A11:A30" si="0">P11</f>
        <v>IBVS 5603 </v>
      </c>
      <c r="B11" s="6" t="str">
        <f t="shared" ref="B11:B30" si="1">IF(H11=INT(H11),"I","II")</f>
        <v>II</v>
      </c>
      <c r="C11" s="24">
        <f t="shared" ref="C11:C30" si="2">1*G11</f>
        <v>53017.697999999997</v>
      </c>
      <c r="D11" s="27" t="str">
        <f t="shared" ref="D11:D30" si="3">VLOOKUP(F11,I$1:J$5,2,FALSE)</f>
        <v>vis</v>
      </c>
      <c r="E11" s="35">
        <f>VLOOKUP(C11,'Active 1'!C$21:E$973,3,FALSE)</f>
        <v>39932.428995690723</v>
      </c>
      <c r="F11" s="6" t="s">
        <v>50</v>
      </c>
      <c r="G11" s="27" t="str">
        <f t="shared" ref="G11:G30" si="4">MID(I11,3,LEN(I11)-3)</f>
        <v>53017.698</v>
      </c>
      <c r="H11" s="24">
        <f t="shared" ref="H11:H30" si="5">1*K11</f>
        <v>602.5</v>
      </c>
      <c r="I11" s="36" t="s">
        <v>101</v>
      </c>
      <c r="J11" s="37" t="s">
        <v>102</v>
      </c>
      <c r="K11" s="36">
        <v>602.5</v>
      </c>
      <c r="L11" s="36" t="s">
        <v>103</v>
      </c>
      <c r="M11" s="37" t="s">
        <v>104</v>
      </c>
      <c r="N11" s="37" t="s">
        <v>105</v>
      </c>
      <c r="O11" s="38" t="s">
        <v>106</v>
      </c>
      <c r="P11" s="39" t="s">
        <v>107</v>
      </c>
    </row>
    <row r="12" spans="1:16" ht="12.75" customHeight="1" thickBot="1">
      <c r="A12" s="24" t="str">
        <f t="shared" si="0"/>
        <v> PLOU 109.6 </v>
      </c>
      <c r="B12" s="6" t="str">
        <f t="shared" si="1"/>
        <v>II</v>
      </c>
      <c r="C12" s="24">
        <f t="shared" si="2"/>
        <v>27430.385999999999</v>
      </c>
      <c r="D12" s="27" t="str">
        <f t="shared" si="3"/>
        <v>vis</v>
      </c>
      <c r="E12" s="35">
        <f>VLOOKUP(C12,'Active 1'!C$21:E$973,3,FALSE)</f>
        <v>-1063.5232100879555</v>
      </c>
      <c r="F12" s="6" t="s">
        <v>50</v>
      </c>
      <c r="G12" s="27" t="str">
        <f t="shared" si="4"/>
        <v>27430.386</v>
      </c>
      <c r="H12" s="24">
        <f t="shared" si="5"/>
        <v>-40393.5</v>
      </c>
      <c r="I12" s="36" t="s">
        <v>52</v>
      </c>
      <c r="J12" s="37" t="s">
        <v>53</v>
      </c>
      <c r="K12" s="36">
        <v>-40393.5</v>
      </c>
      <c r="L12" s="36" t="s">
        <v>54</v>
      </c>
      <c r="M12" s="37" t="s">
        <v>55</v>
      </c>
      <c r="N12" s="37"/>
      <c r="O12" s="38" t="s">
        <v>56</v>
      </c>
      <c r="P12" s="38" t="s">
        <v>57</v>
      </c>
    </row>
    <row r="13" spans="1:16" ht="12.75" customHeight="1" thickBot="1">
      <c r="A13" s="24" t="str">
        <f t="shared" si="0"/>
        <v> PLOU 109.6 </v>
      </c>
      <c r="B13" s="6" t="str">
        <f t="shared" si="1"/>
        <v>II</v>
      </c>
      <c r="C13" s="24">
        <f t="shared" si="2"/>
        <v>27445.379000000001</v>
      </c>
      <c r="D13" s="27" t="str">
        <f t="shared" si="3"/>
        <v>vis</v>
      </c>
      <c r="E13" s="35">
        <f>VLOOKUP(C13,'Active 1'!C$21:E$973,3,FALSE)</f>
        <v>-1039.501448387417</v>
      </c>
      <c r="F13" s="6" t="s">
        <v>50</v>
      </c>
      <c r="G13" s="27" t="str">
        <f t="shared" si="4"/>
        <v>27445.379</v>
      </c>
      <c r="H13" s="24">
        <f t="shared" si="5"/>
        <v>-40369.5</v>
      </c>
      <c r="I13" s="36" t="s">
        <v>58</v>
      </c>
      <c r="J13" s="37" t="s">
        <v>59</v>
      </c>
      <c r="K13" s="36">
        <v>-40369.5</v>
      </c>
      <c r="L13" s="36" t="s">
        <v>60</v>
      </c>
      <c r="M13" s="37" t="s">
        <v>55</v>
      </c>
      <c r="N13" s="37"/>
      <c r="O13" s="38" t="s">
        <v>56</v>
      </c>
      <c r="P13" s="38" t="s">
        <v>57</v>
      </c>
    </row>
    <row r="14" spans="1:16" ht="12.75" customHeight="1" thickBot="1">
      <c r="A14" s="24" t="str">
        <f t="shared" si="0"/>
        <v> PLOU 109.6 </v>
      </c>
      <c r="B14" s="6" t="str">
        <f t="shared" si="1"/>
        <v>II</v>
      </c>
      <c r="C14" s="24">
        <f t="shared" si="2"/>
        <v>27560.213</v>
      </c>
      <c r="D14" s="27" t="str">
        <f t="shared" si="3"/>
        <v>vis</v>
      </c>
      <c r="E14" s="35">
        <f>VLOOKUP(C14,'Active 1'!C$21:E$973,3,FALSE)</f>
        <v>-855.51458897841212</v>
      </c>
      <c r="F14" s="6" t="s">
        <v>50</v>
      </c>
      <c r="G14" s="27" t="str">
        <f t="shared" si="4"/>
        <v>27560.213</v>
      </c>
      <c r="H14" s="24">
        <f t="shared" si="5"/>
        <v>-40185.5</v>
      </c>
      <c r="I14" s="36" t="s">
        <v>61</v>
      </c>
      <c r="J14" s="37" t="s">
        <v>62</v>
      </c>
      <c r="K14" s="36">
        <v>-40185.5</v>
      </c>
      <c r="L14" s="36" t="s">
        <v>63</v>
      </c>
      <c r="M14" s="37" t="s">
        <v>55</v>
      </c>
      <c r="N14" s="37"/>
      <c r="O14" s="38" t="s">
        <v>56</v>
      </c>
      <c r="P14" s="38" t="s">
        <v>57</v>
      </c>
    </row>
    <row r="15" spans="1:16" ht="12.75" customHeight="1" thickBot="1">
      <c r="A15" s="24" t="str">
        <f t="shared" si="0"/>
        <v> PLOU 109.6 </v>
      </c>
      <c r="B15" s="6" t="str">
        <f t="shared" si="1"/>
        <v>II</v>
      </c>
      <c r="C15" s="24">
        <f t="shared" si="2"/>
        <v>27947.197</v>
      </c>
      <c r="D15" s="27" t="str">
        <f t="shared" si="3"/>
        <v>vis</v>
      </c>
      <c r="E15" s="35">
        <f>VLOOKUP(C15,'Active 1'!C$21:E$973,3,FALSE)</f>
        <v>-235.48941523600908</v>
      </c>
      <c r="F15" s="6" t="s">
        <v>50</v>
      </c>
      <c r="G15" s="27" t="str">
        <f t="shared" si="4"/>
        <v>27947.197</v>
      </c>
      <c r="H15" s="24">
        <f t="shared" si="5"/>
        <v>-39565.5</v>
      </c>
      <c r="I15" s="36" t="s">
        <v>64</v>
      </c>
      <c r="J15" s="37" t="s">
        <v>65</v>
      </c>
      <c r="K15" s="36">
        <v>-39565.5</v>
      </c>
      <c r="L15" s="36" t="s">
        <v>66</v>
      </c>
      <c r="M15" s="37" t="s">
        <v>55</v>
      </c>
      <c r="N15" s="37"/>
      <c r="O15" s="38" t="s">
        <v>56</v>
      </c>
      <c r="P15" s="38" t="s">
        <v>57</v>
      </c>
    </row>
    <row r="16" spans="1:16" ht="12.75" customHeight="1" thickBot="1">
      <c r="A16" s="24" t="str">
        <f t="shared" si="0"/>
        <v> PLOU 109.6 </v>
      </c>
      <c r="B16" s="6" t="str">
        <f t="shared" si="1"/>
        <v>II</v>
      </c>
      <c r="C16" s="24">
        <f t="shared" si="2"/>
        <v>27957.192999999999</v>
      </c>
      <c r="D16" s="27" t="str">
        <f t="shared" si="3"/>
        <v>vis</v>
      </c>
      <c r="E16" s="35">
        <f>VLOOKUP(C16,'Active 1'!C$21:E$973,3,FALSE)</f>
        <v>-219.47383930333859</v>
      </c>
      <c r="F16" s="6" t="s">
        <v>50</v>
      </c>
      <c r="G16" s="27" t="str">
        <f t="shared" si="4"/>
        <v>27957.193</v>
      </c>
      <c r="H16" s="24">
        <f t="shared" si="5"/>
        <v>-39549.5</v>
      </c>
      <c r="I16" s="36" t="s">
        <v>67</v>
      </c>
      <c r="J16" s="37" t="s">
        <v>68</v>
      </c>
      <c r="K16" s="36">
        <v>-39549.5</v>
      </c>
      <c r="L16" s="36" t="s">
        <v>69</v>
      </c>
      <c r="M16" s="37" t="s">
        <v>55</v>
      </c>
      <c r="N16" s="37"/>
      <c r="O16" s="38" t="s">
        <v>56</v>
      </c>
      <c r="P16" s="38" t="s">
        <v>57</v>
      </c>
    </row>
    <row r="17" spans="1:16" ht="12.75" customHeight="1" thickBot="1">
      <c r="A17" s="24" t="str">
        <f t="shared" si="0"/>
        <v> PLOU 109.6 </v>
      </c>
      <c r="B17" s="6" t="str">
        <f t="shared" si="1"/>
        <v>II</v>
      </c>
      <c r="C17" s="24">
        <f t="shared" si="2"/>
        <v>28159.419000000002</v>
      </c>
      <c r="D17" s="27" t="str">
        <f t="shared" si="3"/>
        <v>vis</v>
      </c>
      <c r="E17" s="35">
        <f>VLOOKUP(C17,'Active 1'!C$21:E$973,3,FALSE)</f>
        <v>104.53234902804601</v>
      </c>
      <c r="F17" s="6" t="s">
        <v>50</v>
      </c>
      <c r="G17" s="27" t="str">
        <f t="shared" si="4"/>
        <v>28159.419</v>
      </c>
      <c r="H17" s="24">
        <f t="shared" si="5"/>
        <v>-39225.5</v>
      </c>
      <c r="I17" s="36" t="s">
        <v>70</v>
      </c>
      <c r="J17" s="37" t="s">
        <v>71</v>
      </c>
      <c r="K17" s="36">
        <v>-39225.5</v>
      </c>
      <c r="L17" s="36" t="s">
        <v>72</v>
      </c>
      <c r="M17" s="37" t="s">
        <v>55</v>
      </c>
      <c r="N17" s="37"/>
      <c r="O17" s="38" t="s">
        <v>56</v>
      </c>
      <c r="P17" s="38" t="s">
        <v>57</v>
      </c>
    </row>
    <row r="18" spans="1:16" ht="12.75" customHeight="1" thickBot="1">
      <c r="A18" s="24" t="str">
        <f t="shared" si="0"/>
        <v> PLOU 109.6 </v>
      </c>
      <c r="B18" s="6" t="str">
        <f t="shared" si="1"/>
        <v>II</v>
      </c>
      <c r="C18" s="24">
        <f t="shared" si="2"/>
        <v>28184.357</v>
      </c>
      <c r="D18" s="27" t="str">
        <f t="shared" si="3"/>
        <v>vis</v>
      </c>
      <c r="E18" s="35">
        <f>VLOOKUP(C18,'Active 1'!C$21:E$973,3,FALSE)</f>
        <v>144.48797453914457</v>
      </c>
      <c r="F18" s="6" t="s">
        <v>50</v>
      </c>
      <c r="G18" s="27" t="str">
        <f t="shared" si="4"/>
        <v>28184.357</v>
      </c>
      <c r="H18" s="24">
        <f t="shared" si="5"/>
        <v>-39185.5</v>
      </c>
      <c r="I18" s="36" t="s">
        <v>73</v>
      </c>
      <c r="J18" s="37" t="s">
        <v>74</v>
      </c>
      <c r="K18" s="36">
        <v>-39185.5</v>
      </c>
      <c r="L18" s="36" t="s">
        <v>75</v>
      </c>
      <c r="M18" s="37" t="s">
        <v>55</v>
      </c>
      <c r="N18" s="37"/>
      <c r="O18" s="38" t="s">
        <v>56</v>
      </c>
      <c r="P18" s="38" t="s">
        <v>57</v>
      </c>
    </row>
    <row r="19" spans="1:16" ht="12.75" customHeight="1" thickBot="1">
      <c r="A19" s="24" t="str">
        <f t="shared" si="0"/>
        <v> PLOU 109.6 </v>
      </c>
      <c r="B19" s="6" t="str">
        <f t="shared" si="1"/>
        <v>II</v>
      </c>
      <c r="C19" s="24">
        <f t="shared" si="2"/>
        <v>28249.277999999998</v>
      </c>
      <c r="D19" s="27" t="str">
        <f t="shared" si="3"/>
        <v>vis</v>
      </c>
      <c r="E19" s="35">
        <f>VLOOKUP(C19,'Active 1'!C$21:E$973,3,FALSE)</f>
        <v>248.50430158245786</v>
      </c>
      <c r="F19" s="6" t="s">
        <v>50</v>
      </c>
      <c r="G19" s="27" t="str">
        <f t="shared" si="4"/>
        <v>28249.278</v>
      </c>
      <c r="H19" s="24">
        <f t="shared" si="5"/>
        <v>-39081.5</v>
      </c>
      <c r="I19" s="36" t="s">
        <v>76</v>
      </c>
      <c r="J19" s="37" t="s">
        <v>77</v>
      </c>
      <c r="K19" s="36">
        <v>-39081.5</v>
      </c>
      <c r="L19" s="36" t="s">
        <v>78</v>
      </c>
      <c r="M19" s="37" t="s">
        <v>55</v>
      </c>
      <c r="N19" s="37"/>
      <c r="O19" s="38" t="s">
        <v>56</v>
      </c>
      <c r="P19" s="38" t="s">
        <v>57</v>
      </c>
    </row>
    <row r="20" spans="1:16" ht="12.75" customHeight="1" thickBot="1">
      <c r="A20" s="24" t="str">
        <f t="shared" si="0"/>
        <v> PLOU 109.6 </v>
      </c>
      <c r="B20" s="6" t="str">
        <f t="shared" si="1"/>
        <v>II</v>
      </c>
      <c r="C20" s="24">
        <f t="shared" si="2"/>
        <v>28254.276999999998</v>
      </c>
      <c r="D20" s="27" t="str">
        <f t="shared" si="3"/>
        <v>vis</v>
      </c>
      <c r="E20" s="35">
        <f>VLOOKUP(C20,'Active 1'!C$21:E$973,3,FALSE)</f>
        <v>256.51369174726608</v>
      </c>
      <c r="F20" s="6" t="s">
        <v>50</v>
      </c>
      <c r="G20" s="27" t="str">
        <f t="shared" si="4"/>
        <v>28254.277</v>
      </c>
      <c r="H20" s="24">
        <f t="shared" si="5"/>
        <v>-39073.5</v>
      </c>
      <c r="I20" s="36" t="s">
        <v>79</v>
      </c>
      <c r="J20" s="37" t="s">
        <v>80</v>
      </c>
      <c r="K20" s="36">
        <v>-39073.5</v>
      </c>
      <c r="L20" s="36" t="s">
        <v>81</v>
      </c>
      <c r="M20" s="37" t="s">
        <v>55</v>
      </c>
      <c r="N20" s="37"/>
      <c r="O20" s="38" t="s">
        <v>56</v>
      </c>
      <c r="P20" s="38" t="s">
        <v>57</v>
      </c>
    </row>
    <row r="21" spans="1:16" ht="12.75" customHeight="1" thickBot="1">
      <c r="A21" s="24" t="str">
        <f t="shared" si="0"/>
        <v> PLOU 109.6 </v>
      </c>
      <c r="B21" s="6" t="str">
        <f t="shared" si="1"/>
        <v>II</v>
      </c>
      <c r="C21" s="24">
        <f t="shared" si="2"/>
        <v>28269.235000000001</v>
      </c>
      <c r="D21" s="27" t="str">
        <f t="shared" si="3"/>
        <v>vis</v>
      </c>
      <c r="E21" s="35">
        <f>VLOOKUP(C21,'Active 1'!C$21:E$973,3,FALSE)</f>
        <v>280.47937650126187</v>
      </c>
      <c r="F21" s="6" t="s">
        <v>50</v>
      </c>
      <c r="G21" s="27" t="str">
        <f t="shared" si="4"/>
        <v>28269.235</v>
      </c>
      <c r="H21" s="24">
        <f t="shared" si="5"/>
        <v>-39049.5</v>
      </c>
      <c r="I21" s="36" t="s">
        <v>82</v>
      </c>
      <c r="J21" s="37" t="s">
        <v>83</v>
      </c>
      <c r="K21" s="36">
        <v>-39049.5</v>
      </c>
      <c r="L21" s="36" t="s">
        <v>84</v>
      </c>
      <c r="M21" s="37" t="s">
        <v>55</v>
      </c>
      <c r="N21" s="37"/>
      <c r="O21" s="38" t="s">
        <v>56</v>
      </c>
      <c r="P21" s="38" t="s">
        <v>57</v>
      </c>
    </row>
    <row r="22" spans="1:16" ht="12.75" customHeight="1" thickBot="1">
      <c r="A22" s="24" t="str">
        <f t="shared" si="0"/>
        <v> PLOU 109.6 </v>
      </c>
      <c r="B22" s="6" t="str">
        <f t="shared" si="1"/>
        <v>II</v>
      </c>
      <c r="C22" s="24">
        <f t="shared" si="2"/>
        <v>28274.245999999999</v>
      </c>
      <c r="D22" s="27" t="str">
        <f t="shared" si="3"/>
        <v>vis</v>
      </c>
      <c r="E22" s="35">
        <f>VLOOKUP(C22,'Active 1'!C$21:E$973,3,FALSE)</f>
        <v>288.50799304774006</v>
      </c>
      <c r="F22" s="6" t="s">
        <v>50</v>
      </c>
      <c r="G22" s="27" t="str">
        <f t="shared" si="4"/>
        <v>28274.246</v>
      </c>
      <c r="H22" s="24">
        <f t="shared" si="5"/>
        <v>-39041.5</v>
      </c>
      <c r="I22" s="36" t="s">
        <v>85</v>
      </c>
      <c r="J22" s="37" t="s">
        <v>86</v>
      </c>
      <c r="K22" s="36">
        <v>-39041.5</v>
      </c>
      <c r="L22" s="36" t="s">
        <v>87</v>
      </c>
      <c r="M22" s="37" t="s">
        <v>55</v>
      </c>
      <c r="N22" s="37"/>
      <c r="O22" s="38" t="s">
        <v>56</v>
      </c>
      <c r="P22" s="38" t="s">
        <v>57</v>
      </c>
    </row>
    <row r="23" spans="1:16" ht="12.75" customHeight="1" thickBot="1">
      <c r="A23" s="24" t="str">
        <f t="shared" si="0"/>
        <v> PLOU 109.6 </v>
      </c>
      <c r="B23" s="6" t="str">
        <f t="shared" si="1"/>
        <v>II</v>
      </c>
      <c r="C23" s="24">
        <f t="shared" si="2"/>
        <v>28279.254000000001</v>
      </c>
      <c r="D23" s="27" t="str">
        <f t="shared" si="3"/>
        <v>vis</v>
      </c>
      <c r="E23" s="35">
        <f>VLOOKUP(C23,'Active 1'!C$21:E$973,3,FALSE)</f>
        <v>296.53180299880512</v>
      </c>
      <c r="F23" s="6" t="s">
        <v>50</v>
      </c>
      <c r="G23" s="27" t="str">
        <f t="shared" si="4"/>
        <v>28279.254</v>
      </c>
      <c r="H23" s="24">
        <f t="shared" si="5"/>
        <v>-39033.5</v>
      </c>
      <c r="I23" s="36" t="s">
        <v>88</v>
      </c>
      <c r="J23" s="37" t="s">
        <v>89</v>
      </c>
      <c r="K23" s="36">
        <v>-39033.5</v>
      </c>
      <c r="L23" s="36" t="s">
        <v>72</v>
      </c>
      <c r="M23" s="37" t="s">
        <v>55</v>
      </c>
      <c r="N23" s="37"/>
      <c r="O23" s="38" t="s">
        <v>56</v>
      </c>
      <c r="P23" s="38" t="s">
        <v>57</v>
      </c>
    </row>
    <row r="24" spans="1:16" ht="12.75" customHeight="1" thickBot="1">
      <c r="A24" s="24" t="str">
        <f t="shared" si="0"/>
        <v> PLOU 109.6 </v>
      </c>
      <c r="B24" s="6" t="str">
        <f t="shared" si="1"/>
        <v>II</v>
      </c>
      <c r="C24" s="24">
        <f t="shared" si="2"/>
        <v>28436.526000000002</v>
      </c>
      <c r="D24" s="27" t="str">
        <f t="shared" si="3"/>
        <v>vis</v>
      </c>
      <c r="E24" s="35">
        <f>VLOOKUP(C24,'Active 1'!C$21:E$973,3,FALSE)</f>
        <v>548.51276119039869</v>
      </c>
      <c r="F24" s="6" t="s">
        <v>50</v>
      </c>
      <c r="G24" s="27" t="str">
        <f t="shared" si="4"/>
        <v>28436.526</v>
      </c>
      <c r="H24" s="24">
        <f t="shared" si="5"/>
        <v>-38781.5</v>
      </c>
      <c r="I24" s="36" t="s">
        <v>90</v>
      </c>
      <c r="J24" s="37" t="s">
        <v>91</v>
      </c>
      <c r="K24" s="36">
        <v>-38781.5</v>
      </c>
      <c r="L24" s="36" t="s">
        <v>81</v>
      </c>
      <c r="M24" s="37" t="s">
        <v>55</v>
      </c>
      <c r="N24" s="37"/>
      <c r="O24" s="38" t="s">
        <v>56</v>
      </c>
      <c r="P24" s="38" t="s">
        <v>57</v>
      </c>
    </row>
    <row r="25" spans="1:16" ht="12.75" customHeight="1" thickBot="1">
      <c r="A25" s="24" t="str">
        <f t="shared" si="0"/>
        <v> PLOU 109.6 </v>
      </c>
      <c r="B25" s="6" t="str">
        <f t="shared" si="1"/>
        <v>II</v>
      </c>
      <c r="C25" s="24">
        <f t="shared" si="2"/>
        <v>28523.286</v>
      </c>
      <c r="D25" s="27" t="str">
        <f t="shared" si="3"/>
        <v>vis</v>
      </c>
      <c r="E25" s="35">
        <f>VLOOKUP(C25,'Active 1'!C$21:E$973,3,FALSE)</f>
        <v>687.51950067805149</v>
      </c>
      <c r="F25" s="6" t="s">
        <v>50</v>
      </c>
      <c r="G25" s="27" t="str">
        <f t="shared" si="4"/>
        <v>28523.286</v>
      </c>
      <c r="H25" s="24">
        <f t="shared" si="5"/>
        <v>-38642.5</v>
      </c>
      <c r="I25" s="36" t="s">
        <v>92</v>
      </c>
      <c r="J25" s="37" t="s">
        <v>93</v>
      </c>
      <c r="K25" s="36">
        <v>-38642.5</v>
      </c>
      <c r="L25" s="36" t="s">
        <v>94</v>
      </c>
      <c r="M25" s="37" t="s">
        <v>55</v>
      </c>
      <c r="N25" s="37"/>
      <c r="O25" s="38" t="s">
        <v>56</v>
      </c>
      <c r="P25" s="38" t="s">
        <v>57</v>
      </c>
    </row>
    <row r="26" spans="1:16" ht="12.75" customHeight="1" thickBot="1">
      <c r="A26" s="24" t="str">
        <f t="shared" si="0"/>
        <v> PLOU 109.6 </v>
      </c>
      <c r="B26" s="6" t="str">
        <f t="shared" si="1"/>
        <v>II</v>
      </c>
      <c r="C26" s="24">
        <f t="shared" si="2"/>
        <v>28601.269</v>
      </c>
      <c r="D26" s="27" t="str">
        <f t="shared" si="3"/>
        <v>vis</v>
      </c>
      <c r="E26" s="35">
        <f>VLOOKUP(C26,'Active 1'!C$21:E$973,3,FALSE)</f>
        <v>812.4637441712033</v>
      </c>
      <c r="F26" s="6" t="s">
        <v>50</v>
      </c>
      <c r="G26" s="27" t="str">
        <f t="shared" si="4"/>
        <v>28601.269</v>
      </c>
      <c r="H26" s="24">
        <f t="shared" si="5"/>
        <v>-38517.5</v>
      </c>
      <c r="I26" s="36" t="s">
        <v>95</v>
      </c>
      <c r="J26" s="37" t="s">
        <v>96</v>
      </c>
      <c r="K26" s="36">
        <v>-38517.5</v>
      </c>
      <c r="L26" s="36" t="s">
        <v>97</v>
      </c>
      <c r="M26" s="37" t="s">
        <v>55</v>
      </c>
      <c r="N26" s="37"/>
      <c r="O26" s="38" t="s">
        <v>56</v>
      </c>
      <c r="P26" s="38" t="s">
        <v>57</v>
      </c>
    </row>
    <row r="27" spans="1:16" ht="12.75" customHeight="1" thickBot="1">
      <c r="A27" s="24" t="str">
        <f t="shared" si="0"/>
        <v> PLOU 109.6 </v>
      </c>
      <c r="B27" s="6" t="str">
        <f t="shared" si="1"/>
        <v>II</v>
      </c>
      <c r="C27" s="24">
        <f t="shared" si="2"/>
        <v>28611.253000000001</v>
      </c>
      <c r="D27" s="27" t="str">
        <f t="shared" si="3"/>
        <v>vis</v>
      </c>
      <c r="E27" s="35">
        <f>VLOOKUP(C27,'Active 1'!C$21:E$973,3,FALSE)</f>
        <v>828.46009372220385</v>
      </c>
      <c r="F27" s="6" t="s">
        <v>50</v>
      </c>
      <c r="G27" s="27" t="str">
        <f t="shared" si="4"/>
        <v>28611.253</v>
      </c>
      <c r="H27" s="24">
        <f t="shared" si="5"/>
        <v>-38501.5</v>
      </c>
      <c r="I27" s="36" t="s">
        <v>98</v>
      </c>
      <c r="J27" s="37" t="s">
        <v>99</v>
      </c>
      <c r="K27" s="36">
        <v>-38501.5</v>
      </c>
      <c r="L27" s="36" t="s">
        <v>100</v>
      </c>
      <c r="M27" s="37" t="s">
        <v>55</v>
      </c>
      <c r="N27" s="37"/>
      <c r="O27" s="38" t="s">
        <v>56</v>
      </c>
      <c r="P27" s="38" t="s">
        <v>57</v>
      </c>
    </row>
    <row r="28" spans="1:16" ht="12.75" customHeight="1" thickBot="1">
      <c r="A28" s="24" t="str">
        <f t="shared" si="0"/>
        <v>BAVM 241 (=IBVS 6157) </v>
      </c>
      <c r="B28" s="6" t="str">
        <f t="shared" si="1"/>
        <v>II</v>
      </c>
      <c r="C28" s="24">
        <f t="shared" si="2"/>
        <v>57062.696499999998</v>
      </c>
      <c r="D28" s="27" t="str">
        <f t="shared" si="3"/>
        <v>vis</v>
      </c>
      <c r="E28" s="35">
        <f>VLOOKUP(C28,'Active 1'!C$21:E$973,3,FALSE)</f>
        <v>46413.319414287507</v>
      </c>
      <c r="F28" s="6" t="s">
        <v>50</v>
      </c>
      <c r="G28" s="27" t="str">
        <f t="shared" si="4"/>
        <v>57062.6965</v>
      </c>
      <c r="H28" s="24">
        <f t="shared" si="5"/>
        <v>7083.5</v>
      </c>
      <c r="I28" s="36" t="s">
        <v>108</v>
      </c>
      <c r="J28" s="37" t="s">
        <v>109</v>
      </c>
      <c r="K28" s="36">
        <v>7083.5</v>
      </c>
      <c r="L28" s="36" t="s">
        <v>110</v>
      </c>
      <c r="M28" s="37" t="s">
        <v>111</v>
      </c>
      <c r="N28" s="37" t="s">
        <v>50</v>
      </c>
      <c r="O28" s="38" t="s">
        <v>112</v>
      </c>
      <c r="P28" s="39" t="s">
        <v>113</v>
      </c>
    </row>
    <row r="29" spans="1:16" ht="12.75" customHeight="1" thickBot="1">
      <c r="A29" s="24" t="str">
        <f t="shared" si="0"/>
        <v>BAVM 241 (=IBVS 6157) </v>
      </c>
      <c r="B29" s="6" t="str">
        <f t="shared" si="1"/>
        <v>I</v>
      </c>
      <c r="C29" s="24">
        <f t="shared" si="2"/>
        <v>57112.942999999999</v>
      </c>
      <c r="D29" s="27" t="str">
        <f t="shared" si="3"/>
        <v>vis</v>
      </c>
      <c r="E29" s="35">
        <f>VLOOKUP(C29,'Active 1'!C$21:E$973,3,FALSE)</f>
        <v>46493.82427984383</v>
      </c>
      <c r="F29" s="6" t="s">
        <v>50</v>
      </c>
      <c r="G29" s="27" t="str">
        <f t="shared" si="4"/>
        <v>57112.943</v>
      </c>
      <c r="H29" s="24">
        <f t="shared" si="5"/>
        <v>7164</v>
      </c>
      <c r="I29" s="36" t="s">
        <v>114</v>
      </c>
      <c r="J29" s="37" t="s">
        <v>115</v>
      </c>
      <c r="K29" s="36">
        <v>7164</v>
      </c>
      <c r="L29" s="36" t="s">
        <v>116</v>
      </c>
      <c r="M29" s="37" t="s">
        <v>111</v>
      </c>
      <c r="N29" s="37" t="s">
        <v>50</v>
      </c>
      <c r="O29" s="38" t="s">
        <v>112</v>
      </c>
      <c r="P29" s="39" t="s">
        <v>113</v>
      </c>
    </row>
    <row r="30" spans="1:16" ht="12.75" customHeight="1" thickBot="1">
      <c r="A30" s="24" t="str">
        <f t="shared" si="0"/>
        <v>BAVM 241 (=IBVS 6157) </v>
      </c>
      <c r="B30" s="6" t="str">
        <f t="shared" si="1"/>
        <v>I</v>
      </c>
      <c r="C30" s="24">
        <f t="shared" si="2"/>
        <v>57117.935899999997</v>
      </c>
      <c r="D30" s="27" t="str">
        <f t="shared" si="3"/>
        <v>vis</v>
      </c>
      <c r="E30" s="35">
        <f>VLOOKUP(C30,'Active 1'!C$21:E$973,3,FALSE)</f>
        <v>46501.823896597954</v>
      </c>
      <c r="F30" s="6" t="s">
        <v>50</v>
      </c>
      <c r="G30" s="27" t="str">
        <f t="shared" si="4"/>
        <v>57117.9359</v>
      </c>
      <c r="H30" s="24">
        <f t="shared" si="5"/>
        <v>7172</v>
      </c>
      <c r="I30" s="36" t="s">
        <v>117</v>
      </c>
      <c r="J30" s="37" t="s">
        <v>118</v>
      </c>
      <c r="K30" s="36">
        <v>7172</v>
      </c>
      <c r="L30" s="36" t="s">
        <v>119</v>
      </c>
      <c r="M30" s="37" t="s">
        <v>111</v>
      </c>
      <c r="N30" s="37" t="s">
        <v>50</v>
      </c>
      <c r="O30" s="38" t="s">
        <v>112</v>
      </c>
      <c r="P30" s="39" t="s">
        <v>113</v>
      </c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</sheetData>
  <phoneticPr fontId="8" type="noConversion"/>
  <hyperlinks>
    <hyperlink ref="P11" r:id="rId1" display="http://www.konkoly.hu/cgi-bin/IBVS?5603"/>
    <hyperlink ref="P28" r:id="rId2" display="http://www.bav-astro.de/sfs/BAVM_link.php?BAVMnr=241"/>
    <hyperlink ref="P29" r:id="rId3" display="http://www.bav-astro.de/sfs/BAVM_link.php?BAVMnr=241"/>
    <hyperlink ref="P30" r:id="rId4" display="http://www.bav-astro.de/sfs/BAVM_link.php?BAVMnr=241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C54" sqref="C5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s="23" t="s">
        <v>40</v>
      </c>
    </row>
    <row r="2" spans="1:4">
      <c r="A2" t="s">
        <v>25</v>
      </c>
      <c r="B2" s="11" t="s">
        <v>29</v>
      </c>
    </row>
    <row r="3" spans="1:4" ht="13.5" thickBot="1"/>
    <row r="4" spans="1:4" ht="13.5" thickBot="1">
      <c r="A4" s="8" t="s">
        <v>0</v>
      </c>
      <c r="C4" s="12">
        <v>28094.488000000001</v>
      </c>
      <c r="D4" s="13">
        <v>0.62414239999999999</v>
      </c>
    </row>
    <row r="6" spans="1:4">
      <c r="A6" s="8" t="s">
        <v>1</v>
      </c>
    </row>
    <row r="7" spans="1:4">
      <c r="A7" t="s">
        <v>2</v>
      </c>
      <c r="C7">
        <f>+C4</f>
        <v>28094.488000000001</v>
      </c>
      <c r="D7" s="20" t="s">
        <v>38</v>
      </c>
    </row>
    <row r="8" spans="1:4">
      <c r="A8" t="s">
        <v>3</v>
      </c>
      <c r="C8" s="22">
        <v>0.62414154499999996</v>
      </c>
      <c r="D8" s="20">
        <v>0.62414154499999996</v>
      </c>
    </row>
    <row r="9" spans="1:4">
      <c r="A9" s="21" t="s">
        <v>39</v>
      </c>
    </row>
    <row r="10" spans="1:4" ht="13.5" thickBot="1">
      <c r="C10" s="7" t="s">
        <v>20</v>
      </c>
      <c r="D10" s="7" t="s">
        <v>21</v>
      </c>
    </row>
    <row r="11" spans="1:4">
      <c r="A11" t="s">
        <v>15</v>
      </c>
      <c r="C11">
        <f>INTERCEPT(G21:G983,$F21:$F983)</f>
        <v>1.2264869840268719E-4</v>
      </c>
      <c r="D11" s="6"/>
    </row>
    <row r="12" spans="1:4">
      <c r="A12" t="s">
        <v>16</v>
      </c>
      <c r="C12">
        <f>SLOPE(G21:G983,$F21:$F983)</f>
        <v>-5.890204099696529E-8</v>
      </c>
      <c r="D12" s="6"/>
    </row>
    <row r="13" spans="1:4">
      <c r="A13" t="s">
        <v>19</v>
      </c>
      <c r="C13" s="6"/>
      <c r="D13" s="6"/>
    </row>
    <row r="14" spans="1:4">
      <c r="A14" t="s">
        <v>24</v>
      </c>
    </row>
    <row r="15" spans="1:4">
      <c r="A15" s="3" t="s">
        <v>17</v>
      </c>
      <c r="C15" s="18">
        <v>53017.697999999997</v>
      </c>
    </row>
    <row r="16" spans="1:4">
      <c r="A16" s="8" t="s">
        <v>4</v>
      </c>
      <c r="C16">
        <f>+C8+C12</f>
        <v>0.62414148609795894</v>
      </c>
    </row>
    <row r="17" spans="1:17" ht="13.5" thickBot="1"/>
    <row r="18" spans="1:17">
      <c r="A18" s="8" t="s">
        <v>5</v>
      </c>
      <c r="C18" s="4">
        <f>+C15</f>
        <v>53017.697999999997</v>
      </c>
      <c r="D18" s="5">
        <f>+C16</f>
        <v>0.62414148609795894</v>
      </c>
    </row>
    <row r="19" spans="1:17" ht="13.5" thickTop="1">
      <c r="C19">
        <f>COUNT(C21:C2722)</f>
        <v>5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18</v>
      </c>
      <c r="K20" s="10" t="s">
        <v>26</v>
      </c>
      <c r="L20" s="10" t="s">
        <v>27</v>
      </c>
      <c r="M20" s="10" t="s">
        <v>28</v>
      </c>
      <c r="N20" s="10" t="s">
        <v>32</v>
      </c>
      <c r="O20" s="10" t="s">
        <v>23</v>
      </c>
      <c r="P20" s="9" t="s">
        <v>22</v>
      </c>
      <c r="Q20" s="7" t="s">
        <v>14</v>
      </c>
    </row>
    <row r="21" spans="1:17">
      <c r="A21" s="14" t="s">
        <v>12</v>
      </c>
      <c r="B21" s="15" t="s">
        <v>30</v>
      </c>
      <c r="C21" s="16">
        <f>+C4</f>
        <v>28094.488000000001</v>
      </c>
      <c r="D21" s="15" t="s">
        <v>31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+C$11+C$12*$F21</f>
        <v>1.2264869840268719E-4</v>
      </c>
      <c r="Q21" s="2">
        <f>+C21-15018.5</f>
        <v>13075.988000000001</v>
      </c>
    </row>
    <row r="22" spans="1:17">
      <c r="A22" s="14" t="s">
        <v>34</v>
      </c>
      <c r="B22" s="17" t="s">
        <v>30</v>
      </c>
      <c r="C22" s="18">
        <v>53017.697999999997</v>
      </c>
      <c r="D22" s="15">
        <v>2E-3</v>
      </c>
      <c r="E22">
        <f>+(C22-C$7)/C$8</f>
        <v>39931.983697704338</v>
      </c>
      <c r="F22">
        <f>ROUND(2*E22,0)/2</f>
        <v>39932</v>
      </c>
      <c r="G22">
        <f>+C22-(C$7+F22*C$8)</f>
        <v>-1.017493999825092E-2</v>
      </c>
      <c r="I22">
        <f>+G22</f>
        <v>-1.017493999825092E-2</v>
      </c>
      <c r="O22">
        <f>+C$11+C$12*$F22</f>
        <v>-2.2294276026881307E-3</v>
      </c>
      <c r="Q22" s="2">
        <f>+C22-15018.5</f>
        <v>37999.197999999997</v>
      </c>
    </row>
    <row r="23" spans="1:17">
      <c r="A23" t="s">
        <v>36</v>
      </c>
      <c r="B23" s="6" t="s">
        <v>37</v>
      </c>
      <c r="C23" s="6">
        <v>52635.734499999999</v>
      </c>
      <c r="D23" s="6">
        <v>6.9999999999999999E-4</v>
      </c>
      <c r="E23">
        <f>+(C23-C$7)/C$8</f>
        <v>39320.001523051949</v>
      </c>
      <c r="F23">
        <f>ROUND(2*E23,0)/2</f>
        <v>39320</v>
      </c>
      <c r="G23">
        <f>+C23-(C$7+F23*C$8)</f>
        <v>9.5059999875957146E-4</v>
      </c>
      <c r="I23">
        <f>+G23</f>
        <v>9.5059999875957146E-4</v>
      </c>
      <c r="O23">
        <f>+C$11+C$12*$F23</f>
        <v>-2.1933795535979878E-3</v>
      </c>
      <c r="Q23" s="2">
        <f>+C23-15018.5</f>
        <v>37617.234499999999</v>
      </c>
    </row>
    <row r="24" spans="1:17">
      <c r="A24" t="s">
        <v>36</v>
      </c>
      <c r="B24" s="6" t="s">
        <v>30</v>
      </c>
      <c r="C24" s="6">
        <v>52639.790500000003</v>
      </c>
      <c r="D24" s="6">
        <v>5.9999999999999995E-4</v>
      </c>
      <c r="E24">
        <f>+(C24-C$7)/C$8</f>
        <v>39326.500048959249</v>
      </c>
      <c r="F24">
        <f>ROUND(2*E24,0)/2</f>
        <v>39326.5</v>
      </c>
      <c r="G24">
        <f>+C24-(C$7+F24*C$8)</f>
        <v>3.0557501304429024E-5</v>
      </c>
      <c r="I24">
        <f>+G24</f>
        <v>3.0557501304429024E-5</v>
      </c>
      <c r="O24">
        <f>+C$11+C$12*$F24</f>
        <v>-2.1937624168644684E-3</v>
      </c>
      <c r="Q24" s="2">
        <f>+C24-15018.5</f>
        <v>37621.290500000003</v>
      </c>
    </row>
    <row r="25" spans="1:17">
      <c r="A25" t="s">
        <v>36</v>
      </c>
      <c r="B25" s="6" t="s">
        <v>30</v>
      </c>
      <c r="C25" s="6">
        <v>52641.663399999998</v>
      </c>
      <c r="D25" s="6">
        <v>8.0000000000000004E-4</v>
      </c>
      <c r="E25">
        <f>+(C25-C$7)/C$8</f>
        <v>39329.500810589365</v>
      </c>
      <c r="F25">
        <f>ROUND(2*E25,0)/2</f>
        <v>39329.5</v>
      </c>
      <c r="G25">
        <f>+C25-(C$7+F25*C$8)</f>
        <v>5.0592250045156106E-4</v>
      </c>
      <c r="I25">
        <f>+G25</f>
        <v>5.0592250045156106E-4</v>
      </c>
      <c r="O25">
        <f>+C$11+C$12*$F25</f>
        <v>-2.193939122987459E-3</v>
      </c>
      <c r="Q25" s="2">
        <f>+C25-15018.5</f>
        <v>37623.163399999998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 (old)</vt:lpstr>
      <vt:lpstr>BAV</vt:lpstr>
      <vt:lpstr>A (old2)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2024-01-26T03:42:57Z</dcterms:modified>
</cp:coreProperties>
</file>