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315E59EF-41CE-4C40-A8E2-582AD4C72DA3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4" i="1" l="1"/>
  <c r="E24" i="1"/>
  <c r="F24" i="1" s="1"/>
  <c r="G24" i="1" s="1"/>
  <c r="K24" i="1" s="1"/>
  <c r="E23" i="1"/>
  <c r="F23" i="1"/>
  <c r="G23" i="1" s="1"/>
  <c r="I23" i="1" s="1"/>
  <c r="Q22" i="1"/>
  <c r="Q23" i="1"/>
  <c r="D9" i="1"/>
  <c r="E9" i="1"/>
  <c r="F16" i="1"/>
  <c r="C17" i="1"/>
  <c r="Q21" i="1"/>
  <c r="E22" i="1"/>
  <c r="F22" i="1"/>
  <c r="G22" i="1" s="1"/>
  <c r="K22" i="1" s="1"/>
  <c r="E21" i="1"/>
  <c r="F21" i="1"/>
  <c r="G21" i="1" s="1"/>
  <c r="I21" i="1" s="1"/>
  <c r="C11" i="1"/>
  <c r="C12" i="1"/>
  <c r="C16" i="1" l="1"/>
  <c r="D18" i="1" s="1"/>
  <c r="C15" i="1"/>
  <c r="F18" i="1" s="1"/>
  <c r="O23" i="1"/>
  <c r="O21" i="1"/>
  <c r="O24" i="1"/>
  <c r="O22" i="1"/>
  <c r="F17" i="1"/>
  <c r="F19" i="1" l="1"/>
  <c r="C18" i="1"/>
</calcChain>
</file>

<file path=xl/sharedStrings.xml><?xml version="1.0" encoding="utf-8"?>
<sst xmlns="http://schemas.openxmlformats.org/spreadsheetml/2006/main" count="58" uniqueCount="52">
  <si>
    <t>OEJV 0181</t>
  </si>
  <si>
    <t>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</si>
  <si>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</si>
  <si>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</si>
  <si>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</si>
  <si>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</si>
  <si>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</si>
  <si>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</si>
  <si>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</si>
  <si>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</si>
  <si>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</si>
  <si>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</si>
  <si>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</si>
  <si>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</si>
  <si>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</si>
  <si>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</si>
  <si>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</si>
  <si>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</si>
  <si>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</si>
  <si>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</si>
  <si>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</si>
  <si>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</si>
  <si>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</si>
  <si>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</si>
  <si>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</si>
  <si>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</si>
  <si>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</si>
  <si>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</si>
  <si>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</si>
  <si>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</si>
  <si>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</si>
  <si>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</si>
  <si>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</si>
  <si>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</si>
  <si>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</si>
  <si>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</si>
  <si>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</si>
  <si>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</si>
  <si>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</si>
  <si>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</si>
  <si>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</si>
  <si>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</si>
  <si>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</si>
  <si>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CW CMa</t>
  </si>
  <si>
    <t>G6537-1289</t>
  </si>
  <si>
    <t>EA/DM</t>
  </si>
  <si>
    <t>pr_0</t>
  </si>
  <si>
    <t>A0V</t>
  </si>
  <si>
    <t>CW CMa / GSC 6537-1289</t>
  </si>
  <si>
    <t>Kreimer</t>
  </si>
  <si>
    <t>GCVS</t>
  </si>
  <si>
    <t>JAVSO..47..263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</si>
</sst>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6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5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6" fillId="0" borderId="0"/>
    <xf numFmtId="0" fontId="17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5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5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vertical="center"/>
    </xf>
    <xf numFmtId="0" fontId="17" fillId="0" borderId="5" xfId="0" applyNumberFormat="1" applyFont="1" applyBorder="1" applyAlignment="1">
      <alignment horizontal="left" vertical="center"/>
    </xf>
    <xf numFmtId="0" fontId="17" fillId="24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6" fillId="25" borderId="5" xfId="0" applyFont="1" applyFill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5" xfId="0" applyNumberFormat="1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7" fillId="24" borderId="5" xfId="0" applyFont="1" applyFill="1" applyBorder="1" applyAlignment="1">
      <alignment vertical="center"/>
    </xf>
    <xf numFmtId="0" fontId="33" fillId="0" borderId="0" xfId="41" applyFont="1"/>
    <xf numFmtId="0" fontId="33" fillId="0" borderId="0" xfId="41" applyFont="1" applyAlignment="1">
      <alignment horizontal="center"/>
    </xf>
    <xf numFmtId="0" fontId="33" fillId="0" borderId="0" xfId="41" applyFont="1" applyAlignment="1">
      <alignment horizontal="left"/>
    </xf>
    <xf numFmtId="0" fontId="10" fillId="0" borderId="0" xfId="41" applyFont="1" applyAlignment="1">
      <alignment horizontal="left"/>
    </xf>
    <xf numFmtId="0" fontId="34" fillId="0" borderId="0" xfId="0" applyFont="1">
      <alignment vertical="top"/>
    </xf>
    <xf numFmtId="0" fontId="34" fillId="0" borderId="0" xfId="0" applyFont="1" applyAlignment="1">
      <alignment horizontal="center"/>
    </xf>
    <xf numFmtId="0" fontId="34" fillId="0" borderId="0" xfId="0" applyFont="1" applyAlignment="1">
      <alignment horizontal="left"/>
    </xf>
    <xf numFmtId="0" fontId="0" fillId="0" borderId="0" xfId="0" applyAlignment="1">
      <alignment horizontal="right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CW CMa - O-C Diagr.</a:t>
            </a:r>
          </a:p>
        </c:rich>
      </c:tx>
      <c:layout>
        <c:manualLayout>
          <c:xMode val="edge"/>
          <c:yMode val="edge"/>
          <c:x val="0.37894736842105264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50375939849624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5.0000000000000001E-3</c:v>
                  </c:pt>
                  <c:pt idx="3">
                    <c:v>5.9999999999999995E-4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5.0000000000000001E-3</c:v>
                  </c:pt>
                  <c:pt idx="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1078</c:v>
                </c:pt>
                <c:pt idx="2">
                  <c:v>2513</c:v>
                </c:pt>
                <c:pt idx="3">
                  <c:v>2862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879-4EF5-BACE-8F3C50152EE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5.0000000000000001E-3</c:v>
                  </c:pt>
                  <c:pt idx="3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5.0000000000000001E-3</c:v>
                  </c:pt>
                  <c:pt idx="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1078</c:v>
                </c:pt>
                <c:pt idx="2">
                  <c:v>2513</c:v>
                </c:pt>
                <c:pt idx="3">
                  <c:v>2862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2">
                  <c:v>-1.8227000000479165E-2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879-4EF5-BACE-8F3C50152EE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5.0000000000000001E-3</c:v>
                  </c:pt>
                  <c:pt idx="3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5.0000000000000001E-3</c:v>
                  </c:pt>
                  <c:pt idx="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1078</c:v>
                </c:pt>
                <c:pt idx="2">
                  <c:v>2513</c:v>
                </c:pt>
                <c:pt idx="3">
                  <c:v>2862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879-4EF5-BACE-8F3C50152EE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5.0000000000000001E-3</c:v>
                  </c:pt>
                  <c:pt idx="3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5.0000000000000001E-3</c:v>
                  </c:pt>
                  <c:pt idx="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1078</c:v>
                </c:pt>
                <c:pt idx="2">
                  <c:v>2513</c:v>
                </c:pt>
                <c:pt idx="3">
                  <c:v>2862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-1.6662000001815613E-2</c:v>
                </c:pt>
                <c:pt idx="3">
                  <c:v>-2.0997999999963213E-2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879-4EF5-BACE-8F3C50152EE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5.0000000000000001E-3</c:v>
                  </c:pt>
                  <c:pt idx="3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5.0000000000000001E-3</c:v>
                  </c:pt>
                  <c:pt idx="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1078</c:v>
                </c:pt>
                <c:pt idx="2">
                  <c:v>2513</c:v>
                </c:pt>
                <c:pt idx="3">
                  <c:v>2862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879-4EF5-BACE-8F3C50152EE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5.0000000000000001E-3</c:v>
                  </c:pt>
                  <c:pt idx="3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5.0000000000000001E-3</c:v>
                  </c:pt>
                  <c:pt idx="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1078</c:v>
                </c:pt>
                <c:pt idx="2">
                  <c:v>2513</c:v>
                </c:pt>
                <c:pt idx="3">
                  <c:v>2862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879-4EF5-BACE-8F3C50152EE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5.0000000000000001E-3</c:v>
                  </c:pt>
                  <c:pt idx="3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5.0000000000000001E-3</c:v>
                  </c:pt>
                  <c:pt idx="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1078</c:v>
                </c:pt>
                <c:pt idx="2">
                  <c:v>2513</c:v>
                </c:pt>
                <c:pt idx="3">
                  <c:v>2862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879-4EF5-BACE-8F3C50152EE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1078</c:v>
                </c:pt>
                <c:pt idx="2">
                  <c:v>2513</c:v>
                </c:pt>
                <c:pt idx="3">
                  <c:v>2862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-3.6311507355374379E-3</c:v>
                </c:pt>
                <c:pt idx="1">
                  <c:v>-1.0540908062485629E-2</c:v>
                </c:pt>
                <c:pt idx="2">
                  <c:v>-1.9738961647059523E-2</c:v>
                </c:pt>
                <c:pt idx="3">
                  <c:v>-2.1975979557175403E-2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879-4EF5-BACE-8F3C50152EE4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1078</c:v>
                </c:pt>
                <c:pt idx="2">
                  <c:v>2513</c:v>
                </c:pt>
                <c:pt idx="3">
                  <c:v>2862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879-4EF5-BACE-8F3C50152E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9288368"/>
        <c:axId val="1"/>
      </c:scatterChart>
      <c:valAx>
        <c:axId val="6692883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92883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95488721804511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04C6122B-07C3-5609-2340-94A3012BB0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48</v>
      </c>
      <c r="F1" s="38" t="s">
        <v>43</v>
      </c>
      <c r="G1" s="31">
        <v>0</v>
      </c>
      <c r="H1" s="32"/>
      <c r="I1" s="39" t="s">
        <v>44</v>
      </c>
      <c r="J1" s="38" t="s">
        <v>43</v>
      </c>
      <c r="K1" s="40">
        <v>7.2152500000000002</v>
      </c>
      <c r="L1" s="34">
        <v>-23.473700000000001</v>
      </c>
      <c r="M1" s="35">
        <v>52500.031999999999</v>
      </c>
      <c r="N1" s="35">
        <v>2.1179790000000001</v>
      </c>
      <c r="O1" s="33" t="s">
        <v>45</v>
      </c>
      <c r="P1" s="41">
        <v>8.58</v>
      </c>
      <c r="Q1" s="41">
        <v>8.9</v>
      </c>
      <c r="R1" s="42" t="s">
        <v>46</v>
      </c>
      <c r="S1" s="33" t="s">
        <v>47</v>
      </c>
    </row>
    <row r="2" spans="1:19" x14ac:dyDescent="0.2">
      <c r="A2" t="s">
        <v>25</v>
      </c>
      <c r="B2" t="s">
        <v>45</v>
      </c>
      <c r="C2" s="30"/>
      <c r="D2" s="3"/>
    </row>
    <row r="3" spans="1:19" ht="13.5" thickBot="1" x14ac:dyDescent="0.25"/>
    <row r="4" spans="1:19" ht="14.25" thickTop="1" thickBot="1" x14ac:dyDescent="0.25">
      <c r="A4" s="5" t="s">
        <v>2</v>
      </c>
      <c r="C4" s="27">
        <v>54783.1967</v>
      </c>
      <c r="D4" s="28">
        <v>2.1179752999999999</v>
      </c>
    </row>
    <row r="5" spans="1:19" ht="13.5" thickTop="1" x14ac:dyDescent="0.2">
      <c r="A5" s="9" t="s">
        <v>30</v>
      </c>
      <c r="B5" s="10"/>
      <c r="C5" s="11">
        <v>-9.5</v>
      </c>
      <c r="D5" s="10" t="s">
        <v>31</v>
      </c>
      <c r="E5" s="10"/>
    </row>
    <row r="6" spans="1:19" x14ac:dyDescent="0.2">
      <c r="A6" s="5" t="s">
        <v>3</v>
      </c>
    </row>
    <row r="7" spans="1:19" x14ac:dyDescent="0.2">
      <c r="A7" t="s">
        <v>4</v>
      </c>
      <c r="C7" s="50">
        <v>52500.031999999999</v>
      </c>
      <c r="D7" s="29" t="s">
        <v>49</v>
      </c>
    </row>
    <row r="8" spans="1:19" x14ac:dyDescent="0.2">
      <c r="A8" t="s">
        <v>5</v>
      </c>
      <c r="C8" s="50">
        <v>2.1179790000000001</v>
      </c>
      <c r="D8" s="29" t="s">
        <v>49</v>
      </c>
    </row>
    <row r="9" spans="1:19" x14ac:dyDescent="0.2">
      <c r="A9" s="24" t="s">
        <v>34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19" ht="13.5" thickBot="1" x14ac:dyDescent="0.25">
      <c r="A10" s="10"/>
      <c r="B10" s="10"/>
      <c r="C10" s="4" t="s">
        <v>21</v>
      </c>
      <c r="D10" s="4" t="s">
        <v>22</v>
      </c>
      <c r="E10" s="10"/>
    </row>
    <row r="11" spans="1:19" x14ac:dyDescent="0.2">
      <c r="A11" s="10" t="s">
        <v>17</v>
      </c>
      <c r="B11" s="10"/>
      <c r="C11" s="21">
        <f ca="1">INTERCEPT(INDIRECT($E$9):G992,INDIRECT($D$9):F992)</f>
        <v>-3.6311507355374379E-3</v>
      </c>
      <c r="D11" s="3"/>
      <c r="E11" s="10"/>
    </row>
    <row r="12" spans="1:19" x14ac:dyDescent="0.2">
      <c r="A12" s="10" t="s">
        <v>18</v>
      </c>
      <c r="B12" s="10"/>
      <c r="C12" s="21">
        <f ca="1">SLOPE(INDIRECT($E$9):G992,INDIRECT($D$9):F992)</f>
        <v>-6.4097934387274507E-6</v>
      </c>
      <c r="D12" s="3"/>
      <c r="E12" s="10"/>
    </row>
    <row r="13" spans="1:19" x14ac:dyDescent="0.2">
      <c r="A13" s="10" t="s">
        <v>20</v>
      </c>
      <c r="B13" s="10"/>
      <c r="C13" s="3" t="s">
        <v>15</v>
      </c>
    </row>
    <row r="14" spans="1:19" x14ac:dyDescent="0.2">
      <c r="A14" s="10"/>
      <c r="B14" s="10"/>
      <c r="C14" s="10"/>
    </row>
    <row r="15" spans="1:19" x14ac:dyDescent="0.2">
      <c r="A15" s="12" t="s">
        <v>19</v>
      </c>
      <c r="B15" s="10"/>
      <c r="C15" s="13">
        <f ca="1">(C7+C11)+(C8+C12)*INT(MAX(F21:F3533))</f>
        <v>58561.665922020446</v>
      </c>
      <c r="E15" s="14" t="s">
        <v>36</v>
      </c>
      <c r="F15" s="36">
        <v>1</v>
      </c>
    </row>
    <row r="16" spans="1:19" x14ac:dyDescent="0.2">
      <c r="A16" s="16" t="s">
        <v>6</v>
      </c>
      <c r="B16" s="10"/>
      <c r="C16" s="17">
        <f ca="1">+C8+C12</f>
        <v>2.1179725902065614</v>
      </c>
      <c r="E16" s="14" t="s">
        <v>32</v>
      </c>
      <c r="F16" s="37">
        <f ca="1">NOW()+15018.5+$C$5/24</f>
        <v>60335.697813541665</v>
      </c>
    </row>
    <row r="17" spans="1:21" ht="13.5" thickBot="1" x14ac:dyDescent="0.25">
      <c r="A17" s="14" t="s">
        <v>29</v>
      </c>
      <c r="B17" s="10"/>
      <c r="C17" s="10">
        <f>COUNT(C21:C2191)</f>
        <v>4</v>
      </c>
      <c r="E17" s="14" t="s">
        <v>37</v>
      </c>
      <c r="F17" s="15">
        <f ca="1">ROUND(2*(F16-$C$7)/$C$8,0)/2+F15</f>
        <v>3700.5</v>
      </c>
    </row>
    <row r="18" spans="1:21" ht="14.25" thickTop="1" thickBot="1" x14ac:dyDescent="0.25">
      <c r="A18" s="16" t="s">
        <v>7</v>
      </c>
      <c r="B18" s="10"/>
      <c r="C18" s="19">
        <f ca="1">+C15</f>
        <v>58561.665922020446</v>
      </c>
      <c r="D18" s="20">
        <f ca="1">+C16</f>
        <v>2.1179725902065614</v>
      </c>
      <c r="E18" s="14" t="s">
        <v>38</v>
      </c>
      <c r="F18" s="23">
        <f ca="1">ROUND(2*(F16-$C$15)/$C$16,0)/2+F15</f>
        <v>838.5</v>
      </c>
    </row>
    <row r="19" spans="1:21" ht="13.5" thickTop="1" x14ac:dyDescent="0.2">
      <c r="E19" s="14" t="s">
        <v>33</v>
      </c>
      <c r="F19" s="18">
        <f ca="1">+$C$15+$C$16*F18-15018.5-$C$5/24</f>
        <v>45319.481772241983</v>
      </c>
    </row>
    <row r="20" spans="1:21" ht="13.5" thickBot="1" x14ac:dyDescent="0.25">
      <c r="A20" s="4" t="s">
        <v>8</v>
      </c>
      <c r="B20" s="4" t="s">
        <v>9</v>
      </c>
      <c r="C20" s="4" t="s">
        <v>10</v>
      </c>
      <c r="D20" s="4" t="s">
        <v>14</v>
      </c>
      <c r="E20" s="4" t="s">
        <v>11</v>
      </c>
      <c r="F20" s="4" t="s">
        <v>12</v>
      </c>
      <c r="G20" s="4" t="s">
        <v>13</v>
      </c>
      <c r="H20" s="7" t="s">
        <v>39</v>
      </c>
      <c r="I20" s="7" t="s">
        <v>40</v>
      </c>
      <c r="J20" s="7" t="s">
        <v>41</v>
      </c>
      <c r="K20" s="7" t="s">
        <v>42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  <c r="U20" s="26" t="s">
        <v>35</v>
      </c>
    </row>
    <row r="21" spans="1:21" x14ac:dyDescent="0.2">
      <c r="A21" t="s">
        <v>49</v>
      </c>
      <c r="C21" s="8">
        <v>52500.031999999999</v>
      </c>
      <c r="D21" s="8" t="s">
        <v>15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-3.6311507355374379E-3</v>
      </c>
      <c r="Q21" s="2">
        <f>+C21-15018.5</f>
        <v>37481.531999999999</v>
      </c>
    </row>
    <row r="22" spans="1:21" x14ac:dyDescent="0.2">
      <c r="A22" t="s">
        <v>50</v>
      </c>
      <c r="C22" s="8">
        <v>54783.1967</v>
      </c>
      <c r="D22" s="8"/>
      <c r="E22">
        <f>+(C22-C$7)/C$8</f>
        <v>1077.9921330664756</v>
      </c>
      <c r="F22">
        <f>ROUND(2*E22,0)/2</f>
        <v>1078</v>
      </c>
      <c r="G22">
        <f>+C22-(C$7+F22*C$8)</f>
        <v>-1.6662000001815613E-2</v>
      </c>
      <c r="K22">
        <f>+G22</f>
        <v>-1.6662000001815613E-2</v>
      </c>
      <c r="O22">
        <f ca="1">+C$11+C$12*$F22</f>
        <v>-1.0540908062485629E-2</v>
      </c>
      <c r="Q22" s="2">
        <f>+C22-15018.5</f>
        <v>39764.6967</v>
      </c>
    </row>
    <row r="23" spans="1:21" x14ac:dyDescent="0.2">
      <c r="A23" s="43" t="s">
        <v>0</v>
      </c>
      <c r="B23" s="44" t="s">
        <v>1</v>
      </c>
      <c r="C23" s="45">
        <v>57822.495000000003</v>
      </c>
      <c r="D23" s="46">
        <v>5.0000000000000001E-3</v>
      </c>
      <c r="E23">
        <f>+(C23-C$7)/C$8</f>
        <v>2512.9913941545233</v>
      </c>
      <c r="F23">
        <f>ROUND(2*E23,0)/2</f>
        <v>2513</v>
      </c>
      <c r="G23">
        <f>+C23-(C$7+F23*C$8)</f>
        <v>-1.8227000000479165E-2</v>
      </c>
      <c r="I23">
        <f>+G23</f>
        <v>-1.8227000000479165E-2</v>
      </c>
      <c r="O23">
        <f ca="1">+C$11+C$12*$F23</f>
        <v>-1.9738961647059523E-2</v>
      </c>
      <c r="Q23" s="2">
        <f>+C23-15018.5</f>
        <v>42803.995000000003</v>
      </c>
    </row>
    <row r="24" spans="1:21" x14ac:dyDescent="0.2">
      <c r="A24" s="47" t="s">
        <v>51</v>
      </c>
      <c r="B24" s="48" t="s">
        <v>1</v>
      </c>
      <c r="C24" s="49">
        <v>58561.666899999997</v>
      </c>
      <c r="D24" s="49">
        <v>5.9999999999999995E-4</v>
      </c>
      <c r="E24">
        <f>+(C24-C$7)/C$8</f>
        <v>2861.9900858318224</v>
      </c>
      <c r="F24">
        <f>ROUND(2*E24,0)/2</f>
        <v>2862</v>
      </c>
      <c r="G24">
        <f>+C24-(C$7+F24*C$8)</f>
        <v>-2.0997999999963213E-2</v>
      </c>
      <c r="K24">
        <f>+G24</f>
        <v>-2.0997999999963213E-2</v>
      </c>
      <c r="O24">
        <f ca="1">+C$11+C$12*$F24</f>
        <v>-2.1975979557175403E-2</v>
      </c>
      <c r="Q24" s="2">
        <f>+C24-15018.5</f>
        <v>43543.166899999997</v>
      </c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rotectedRanges>
    <protectedRange sqref="A24:D24" name="Range1"/>
  </protectedRanges>
  <phoneticPr fontId="8" type="noConversion"/>
  <hyperlinks>
    <hyperlink ref="H1721" r:id="rId1" display="http://vsolj.cetus-net.org/bulletin.html"/>
  </hyperlinks>
  <pageMargins left="0.75" right="0.75" top="1" bottom="1" header="0.5" footer="0.5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2024-01-26T03:44:51Z</dcterms:modified>
</cp:coreProperties>
</file>