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BB0315D-66CA-4814-B609-05B96ADB677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5" i="1" l="1"/>
  <c r="F17" i="1" s="1"/>
  <c r="F18" i="1" s="1"/>
  <c r="C7" i="1"/>
  <c r="E21" i="1"/>
  <c r="F21" i="1"/>
  <c r="C8" i="1"/>
  <c r="E23" i="1"/>
  <c r="F23" i="1"/>
  <c r="G11" i="2"/>
  <c r="C11" i="2"/>
  <c r="G13" i="2"/>
  <c r="C13" i="2"/>
  <c r="E13" i="2"/>
  <c r="G12" i="2"/>
  <c r="C12" i="2"/>
  <c r="E12" i="2"/>
  <c r="H11" i="2"/>
  <c r="D11" i="2"/>
  <c r="B11" i="2"/>
  <c r="A11" i="2"/>
  <c r="H13" i="2"/>
  <c r="D13" i="2"/>
  <c r="B13" i="2"/>
  <c r="A13" i="2"/>
  <c r="H12" i="2"/>
  <c r="D12" i="2"/>
  <c r="B12" i="2"/>
  <c r="A12" i="2"/>
  <c r="C17" i="1"/>
  <c r="Q22" i="1"/>
  <c r="Q23" i="1"/>
  <c r="Q24" i="1"/>
  <c r="Q21" i="1"/>
  <c r="E11" i="2"/>
  <c r="E22" i="1"/>
  <c r="F22" i="1"/>
  <c r="G22" i="1"/>
  <c r="J22" i="1"/>
  <c r="G21" i="1"/>
  <c r="E24" i="1"/>
  <c r="F24" i="1"/>
  <c r="G24" i="1"/>
  <c r="I24" i="1"/>
  <c r="G23" i="1"/>
  <c r="J23" i="1"/>
  <c r="C12" i="1"/>
  <c r="C16" i="1"/>
  <c r="D18" i="1"/>
  <c r="H21" i="1"/>
  <c r="C11" i="1"/>
  <c r="O22" i="1"/>
  <c r="O21" i="1"/>
  <c r="C15" i="1"/>
  <c r="C18" i="1"/>
  <c r="O24" i="1"/>
  <c r="O23" i="1"/>
  <c r="F16" i="1" l="1"/>
</calcChain>
</file>

<file path=xl/sharedStrings.xml><?xml version="1.0" encoding="utf-8"?>
<sst xmlns="http://schemas.openxmlformats.org/spreadsheetml/2006/main" count="83" uniqueCount="71">
  <si>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</si>
  <si>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</si>
  <si>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</si>
  <si>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</si>
  <si>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</si>
  <si>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</si>
  <si>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</si>
  <si>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</si>
  <si>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</si>
  <si>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</si>
  <si>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</si>
  <si>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</si>
  <si>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</si>
  <si>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</si>
  <si>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</si>
  <si>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</si>
  <si>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</si>
  <si>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</si>
  <si>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</si>
  <si>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</si>
  <si>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</si>
  <si>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</si>
  <si>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</si>
  <si>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</si>
  <si>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</si>
  <si>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</si>
  <si>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</si>
  <si>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</si>
  <si>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</si>
  <si>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IBVS 5502</t>
  </si>
  <si>
    <t>IBVS</t>
  </si>
  <si>
    <t>VS 39</t>
  </si>
  <si>
    <t>VS 40</t>
  </si>
  <si>
    <t>VS Bull</t>
  </si>
  <si>
    <t>Is the period correct?</t>
  </si>
  <si>
    <t># of data points:</t>
  </si>
  <si>
    <t>DE CMa / GSC 6546-2817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</si>
  <si>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</si>
  <si>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</si>
  <si>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</si>
  <si>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</si>
  <si>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</si>
  <si>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</si>
  <si>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</si>
  <si>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</si>
  <si>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</si>
  <si>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</si>
  <si>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</si>
  <si>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2451952.0155 </t>
  </si>
  <si>
    <t> 11.02.2001 12:22 </t>
  </si>
  <si>
    <t> 0.0087 </t>
  </si>
  <si>
    <t>E </t>
  </si>
  <si>
    <t>?</t>
  </si>
  <si>
    <t> Kiyota </t>
  </si>
  <si>
    <t>VSB 39 </t>
  </si>
  <si>
    <t>2452278.1107 </t>
  </si>
  <si>
    <t> 03.01.2002 14:39 </t>
  </si>
  <si>
    <t> 0.0441 </t>
  </si>
  <si>
    <t>VSB 40 </t>
  </si>
  <si>
    <t>2452648.6607 </t>
  </si>
  <si>
    <t> 09.01.2003 03:51 </t>
  </si>
  <si>
    <t> -0.0075 </t>
  </si>
  <si>
    <t> S.Dvorak </t>
  </si>
  <si>
    <t>IBVS 5502 </t>
  </si>
  <si>
    <t>Add cycle</t>
  </si>
  <si>
    <t>JD today</t>
  </si>
  <si>
    <t>Old Cycle</t>
  </si>
  <si>
    <t>New Cycle</t>
  </si>
  <si>
    <t>Next ToM</t>
  </si>
  <si>
    <t>Local time</t>
  </si>
  <si>
    <t>My time zone&gt;&gt;&gt;&gt;&gt;&gt;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</si>
</sst>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top"/>
    </xf>
    <xf numFmtId="0" fontId="12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CMa - O-C Diagr.</a:t>
            </a:r>
          </a:p>
        </c:rich>
      </c:tx>
      <c:layout>
        <c:manualLayout>
          <c:xMode val="edge"/>
          <c:yMode val="edge"/>
          <c:x val="0.373182891718502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41-42A0-8015-198A390906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  <c:pt idx="2">
                    <c:v>5.0000000000000001E-4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3">
                  <c:v>-1.7643999999563675E-2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41-42A0-8015-198A390906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-2.8799997890018858E-3</c:v>
                </c:pt>
                <c:pt idx="2">
                  <c:v>3.3186000073328614E-2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1-42A0-8015-198A390906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41-42A0-8015-198A390906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41-42A0-8015-198A39090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41-42A0-8015-198A39090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41-42A0-8015-198A39090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34295</c:v>
                </c:pt>
                <c:pt idx="2">
                  <c:v>34763.5</c:v>
                </c:pt>
                <c:pt idx="3">
                  <c:v>35296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2.4069445958265021E-4</c:v>
                </c:pt>
                <c:pt idx="1">
                  <c:v>4.0855198748776392E-3</c:v>
                </c:pt>
                <c:pt idx="2">
                  <c:v>4.1380435869950239E-3</c:v>
                </c:pt>
                <c:pt idx="3">
                  <c:v>4.1977423633077389E-3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41-42A0-8015-198A3909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5976"/>
        <c:axId val="1"/>
      </c:scatterChart>
      <c:valAx>
        <c:axId val="68167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2000129214617399"/>
          <c:w val="0.744750104944474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18</xdr:col>
      <xdr:colOff>123825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35A321-410C-797E-ACF0-787B75DAE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02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3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</row>
    <row r="3" spans="1:6" ht="13.5" thickBot="1" x14ac:dyDescent="0.25">
      <c r="C3" s="12" t="s">
        <v>34</v>
      </c>
    </row>
    <row r="4" spans="1:6" ht="14.25" thickTop="1" thickBot="1" x14ac:dyDescent="0.25">
      <c r="A4" s="8" t="s">
        <v>0</v>
      </c>
      <c r="C4" s="3">
        <v>28083.933000000001</v>
      </c>
      <c r="D4" s="4">
        <v>0.69596400000000003</v>
      </c>
    </row>
    <row r="5" spans="1:6" x14ac:dyDescent="0.2">
      <c r="A5" s="38" t="s">
        <v>70</v>
      </c>
      <c r="C5" s="39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28083.933000000001</v>
      </c>
    </row>
    <row r="8" spans="1:6" x14ac:dyDescent="0.2">
      <c r="A8" t="s">
        <v>3</v>
      </c>
      <c r="C8">
        <f>+D4</f>
        <v>0.69596400000000003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>
        <f>INTERCEPT(G21:G30,F21:F30)</f>
        <v>2.4069445958265021E-4</v>
      </c>
      <c r="D11" s="6"/>
    </row>
    <row r="12" spans="1:6" x14ac:dyDescent="0.2">
      <c r="A12" t="s">
        <v>17</v>
      </c>
      <c r="C12">
        <f>SLOPE(G21:G30,F21:F30)</f>
        <v>1.1211037805204808E-7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  <c r="E14" s="31" t="s">
        <v>64</v>
      </c>
      <c r="F14" s="32">
        <v>1</v>
      </c>
    </row>
    <row r="15" spans="1:6" x14ac:dyDescent="0.2">
      <c r="A15" s="5" t="s">
        <v>18</v>
      </c>
      <c r="C15" s="13">
        <f>(C7+C11)+(C8+C12)*INT(MAX(F21:F3531))</f>
        <v>52648.682541742368</v>
      </c>
      <c r="E15" s="31" t="s">
        <v>65</v>
      </c>
      <c r="F15" s="33">
        <f ca="1">NOW()+15018.5+$C$5/24</f>
        <v>60335.700211111107</v>
      </c>
    </row>
    <row r="16" spans="1:6" x14ac:dyDescent="0.2">
      <c r="A16" s="8" t="s">
        <v>4</v>
      </c>
      <c r="C16" s="14">
        <f>+C8+C12</f>
        <v>0.69596411211037812</v>
      </c>
      <c r="E16" s="31" t="s">
        <v>66</v>
      </c>
      <c r="F16" s="34">
        <f ca="1">ROUND(2*(F15-$C$7)/$C$8,0)/2+F14</f>
        <v>46342</v>
      </c>
    </row>
    <row r="17" spans="1:17" ht="13.5" thickBot="1" x14ac:dyDescent="0.25">
      <c r="A17" s="15" t="s">
        <v>35</v>
      </c>
      <c r="C17">
        <f>COUNT(C21:C2189)</f>
        <v>4</v>
      </c>
      <c r="E17" s="31" t="s">
        <v>67</v>
      </c>
      <c r="F17" s="35">
        <f ca="1">ROUND(2*(F15-$C$15)/$C$16,0)/2+F14</f>
        <v>11046</v>
      </c>
    </row>
    <row r="18" spans="1:17" x14ac:dyDescent="0.2">
      <c r="A18" s="8" t="s">
        <v>5</v>
      </c>
      <c r="C18" s="3">
        <f>+C15</f>
        <v>52648.682541742368</v>
      </c>
      <c r="D18" s="4">
        <f>+C16</f>
        <v>0.69596411211037812</v>
      </c>
      <c r="E18" s="31" t="s">
        <v>68</v>
      </c>
      <c r="F18" s="36">
        <f ca="1">+$C$15+$C$16*F17-15018.5-$C$5/24</f>
        <v>45318.197957446937</v>
      </c>
    </row>
    <row r="19" spans="1:17" ht="13.5" thickTop="1" x14ac:dyDescent="0.2">
      <c r="F19" s="37" t="s">
        <v>69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33</v>
      </c>
      <c r="K20" s="10" t="s">
        <v>39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16">
        <v>28083.933000000001</v>
      </c>
      <c r="D21" s="1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2.4069445958265021E-4</v>
      </c>
      <c r="Q21" s="2">
        <f>+C21-15018.5</f>
        <v>13065.433000000001</v>
      </c>
    </row>
    <row r="22" spans="1:17" x14ac:dyDescent="0.2">
      <c r="A22" s="11" t="s">
        <v>31</v>
      </c>
      <c r="B22" s="11"/>
      <c r="C22" s="16">
        <v>51952.015500000212</v>
      </c>
      <c r="D22" s="16"/>
      <c r="E22">
        <f>+(C22-C$7)/C$8</f>
        <v>34294.995861855226</v>
      </c>
      <c r="F22">
        <f>ROUND(2*E22,0)/2</f>
        <v>34295</v>
      </c>
      <c r="G22">
        <f>+C22-(C$7+F22*C$8)</f>
        <v>-2.8799997890018858E-3</v>
      </c>
      <c r="J22">
        <f>+G22</f>
        <v>-2.8799997890018858E-3</v>
      </c>
      <c r="O22">
        <f>+C$11+C$12*F22</f>
        <v>4.0855198748776392E-3</v>
      </c>
      <c r="Q22" s="2">
        <f>+C22-15018.5</f>
        <v>36933.515500000212</v>
      </c>
    </row>
    <row r="23" spans="1:17" x14ac:dyDescent="0.2">
      <c r="A23" s="11" t="s">
        <v>32</v>
      </c>
      <c r="B23" s="30"/>
      <c r="C23" s="16">
        <v>52278.110700000077</v>
      </c>
      <c r="D23" s="16"/>
      <c r="E23">
        <f>+(C23-C$7)/C$8</f>
        <v>34763.547683500976</v>
      </c>
      <c r="F23">
        <f>ROUND(2*E23,0)/2</f>
        <v>34763.5</v>
      </c>
      <c r="G23">
        <f>+C23-(C$7+F23*C$8)</f>
        <v>3.3186000073328614E-2</v>
      </c>
      <c r="J23">
        <f>+G23</f>
        <v>3.3186000073328614E-2</v>
      </c>
      <c r="O23">
        <f>+C$11+C$12*F23</f>
        <v>4.1380435869950239E-3</v>
      </c>
      <c r="Q23" s="2">
        <f>+C23-15018.5</f>
        <v>37259.610700000077</v>
      </c>
    </row>
    <row r="24" spans="1:17" x14ac:dyDescent="0.2">
      <c r="A24" t="s">
        <v>29</v>
      </c>
      <c r="B24" s="6"/>
      <c r="C24" s="16">
        <v>52648.6607</v>
      </c>
      <c r="D24" s="16">
        <v>5.0000000000000001E-4</v>
      </c>
      <c r="E24">
        <f>+(C24-C$7)/C$8</f>
        <v>35295.974648113981</v>
      </c>
      <c r="F24">
        <f>ROUND(2*E24,0)/2</f>
        <v>35296</v>
      </c>
      <c r="G24">
        <f>+C24-(C$7+F24*C$8)</f>
        <v>-1.7643999999563675E-2</v>
      </c>
      <c r="I24">
        <f>+G24</f>
        <v>-1.7643999999563675E-2</v>
      </c>
      <c r="O24">
        <f>+C$11+C$12*F24</f>
        <v>4.1977423633077389E-3</v>
      </c>
      <c r="Q24" s="2">
        <f>+C24-15018.5</f>
        <v>37630.1607</v>
      </c>
    </row>
    <row r="25" spans="1:17" x14ac:dyDescent="0.2">
      <c r="B25" s="6"/>
      <c r="C25" s="16"/>
      <c r="D25" s="16"/>
      <c r="Q25" s="2"/>
    </row>
    <row r="26" spans="1:17" x14ac:dyDescent="0.2">
      <c r="B26" s="6"/>
      <c r="C26" s="16"/>
      <c r="D26" s="16"/>
      <c r="Q26" s="2"/>
    </row>
    <row r="27" spans="1:17" x14ac:dyDescent="0.2">
      <c r="B27" s="6"/>
      <c r="C27" s="16"/>
      <c r="D27" s="16"/>
      <c r="Q27" s="2"/>
    </row>
    <row r="28" spans="1:17" x14ac:dyDescent="0.2">
      <c r="C28" s="16"/>
      <c r="D28" s="16"/>
      <c r="Q28" s="2"/>
    </row>
    <row r="29" spans="1:17" x14ac:dyDescent="0.2">
      <c r="C29" s="16"/>
      <c r="D29" s="16"/>
      <c r="Q29" s="2"/>
    </row>
    <row r="30" spans="1:17" x14ac:dyDescent="0.2">
      <c r="C30" s="16"/>
      <c r="D30" s="16"/>
      <c r="Q30" s="2"/>
    </row>
    <row r="31" spans="1:17" x14ac:dyDescent="0.2">
      <c r="C31" s="16"/>
      <c r="D31" s="16"/>
      <c r="Q31" s="2"/>
    </row>
    <row r="32" spans="1:17" x14ac:dyDescent="0.2">
      <c r="C32" s="16"/>
      <c r="D32" s="16"/>
    </row>
    <row r="33" spans="3:4" x14ac:dyDescent="0.2">
      <c r="C33" s="16"/>
      <c r="D33" s="16"/>
    </row>
    <row r="34" spans="3:4" x14ac:dyDescent="0.2">
      <c r="C34" s="16"/>
      <c r="D34" s="16"/>
    </row>
    <row r="35" spans="3:4" x14ac:dyDescent="0.2">
      <c r="C35" s="16"/>
      <c r="D35" s="16"/>
    </row>
    <row r="36" spans="3:4" x14ac:dyDescent="0.2">
      <c r="C36" s="16"/>
      <c r="D36" s="16"/>
    </row>
    <row r="37" spans="3:4" x14ac:dyDescent="0.2">
      <c r="C37" s="16"/>
      <c r="D37" s="16"/>
    </row>
    <row r="38" spans="3:4" x14ac:dyDescent="0.2">
      <c r="C38" s="16"/>
      <c r="D38" s="16"/>
    </row>
    <row r="39" spans="3:4" x14ac:dyDescent="0.2">
      <c r="C39" s="16"/>
      <c r="D39" s="16"/>
    </row>
    <row r="40" spans="3:4" x14ac:dyDescent="0.2">
      <c r="C40" s="16"/>
      <c r="D40" s="16"/>
    </row>
    <row r="41" spans="3:4" x14ac:dyDescent="0.2">
      <c r="C41" s="16"/>
      <c r="D41" s="16"/>
    </row>
    <row r="42" spans="3:4" x14ac:dyDescent="0.2">
      <c r="C42" s="16"/>
      <c r="D42" s="16"/>
    </row>
    <row r="43" spans="3:4" x14ac:dyDescent="0.2">
      <c r="C43" s="16"/>
      <c r="D43" s="16"/>
    </row>
    <row r="44" spans="3:4" x14ac:dyDescent="0.2">
      <c r="C44" s="16"/>
      <c r="D44" s="16"/>
    </row>
    <row r="45" spans="3:4" x14ac:dyDescent="0.2">
      <c r="C45" s="16"/>
      <c r="D45" s="16"/>
    </row>
    <row r="46" spans="3:4" x14ac:dyDescent="0.2">
      <c r="C46" s="16"/>
      <c r="D46" s="16"/>
    </row>
    <row r="47" spans="3:4" x14ac:dyDescent="0.2">
      <c r="C47" s="16"/>
      <c r="D47" s="16"/>
    </row>
    <row r="48" spans="3:4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2"/>
  <sheetViews>
    <sheetView workbookViewId="0">
      <selection activeCell="A12" sqref="A12:D13"/>
    </sheetView>
  </sheetViews>
  <sheetFormatPr defaultRowHeight="12.75" x14ac:dyDescent="0.2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7" t="s">
        <v>37</v>
      </c>
      <c r="I1" s="18" t="s">
        <v>38</v>
      </c>
      <c r="J1" s="19" t="s">
        <v>39</v>
      </c>
    </row>
    <row r="2" spans="1:16" x14ac:dyDescent="0.2">
      <c r="I2" s="20" t="s">
        <v>40</v>
      </c>
      <c r="J2" s="21" t="s">
        <v>41</v>
      </c>
    </row>
    <row r="3" spans="1:16" x14ac:dyDescent="0.2">
      <c r="A3" s="22" t="s">
        <v>42</v>
      </c>
      <c r="I3" s="20" t="s">
        <v>43</v>
      </c>
      <c r="J3" s="21" t="s">
        <v>44</v>
      </c>
    </row>
    <row r="4" spans="1:16" x14ac:dyDescent="0.2">
      <c r="I4" s="20" t="s">
        <v>45</v>
      </c>
      <c r="J4" s="21" t="s">
        <v>44</v>
      </c>
    </row>
    <row r="5" spans="1:16" ht="13.5" thickBot="1" x14ac:dyDescent="0.25">
      <c r="I5" s="23" t="s">
        <v>46</v>
      </c>
      <c r="J5" s="24" t="s">
        <v>47</v>
      </c>
    </row>
    <row r="10" spans="1:16" ht="13.5" thickBot="1" x14ac:dyDescent="0.25"/>
    <row r="11" spans="1:16" ht="12.75" customHeight="1" thickBot="1" x14ac:dyDescent="0.25">
      <c r="A11" s="16" t="str">
        <f>P11</f>
        <v>IBVS 5502 </v>
      </c>
      <c r="B11" s="6" t="str">
        <f>IF(H11=INT(H11),"I","II")</f>
        <v>II</v>
      </c>
      <c r="C11" s="16">
        <f>1*G11</f>
        <v>52648.6607</v>
      </c>
      <c r="D11" s="11" t="str">
        <f>VLOOKUP(F11,I$1:J$5,2,FALSE)</f>
        <v>vis</v>
      </c>
      <c r="E11" s="25">
        <f>VLOOKUP(C11,Active!C$21:E$971,3,FALSE)</f>
        <v>35295.974648113981</v>
      </c>
      <c r="F11" s="6" t="s">
        <v>46</v>
      </c>
      <c r="G11" s="11" t="str">
        <f>MID(I11,3,LEN(I11)-3)</f>
        <v>52648.6607</v>
      </c>
      <c r="H11" s="16">
        <f>1*K11</f>
        <v>981.5</v>
      </c>
      <c r="I11" s="26" t="s">
        <v>59</v>
      </c>
      <c r="J11" s="27" t="s">
        <v>60</v>
      </c>
      <c r="K11" s="26">
        <v>981.5</v>
      </c>
      <c r="L11" s="26" t="s">
        <v>61</v>
      </c>
      <c r="M11" s="27" t="s">
        <v>51</v>
      </c>
      <c r="N11" s="27" t="s">
        <v>52</v>
      </c>
      <c r="O11" s="28" t="s">
        <v>62</v>
      </c>
      <c r="P11" s="29" t="s">
        <v>63</v>
      </c>
    </row>
    <row r="12" spans="1:16" ht="12.75" customHeight="1" thickBot="1" x14ac:dyDescent="0.25">
      <c r="A12" s="16" t="str">
        <f>P12</f>
        <v>VSB 39 </v>
      </c>
      <c r="B12" s="6" t="str">
        <f>IF(H12=INT(H12),"I","II")</f>
        <v>II</v>
      </c>
      <c r="C12" s="16">
        <f>1*G12</f>
        <v>51952.015500000001</v>
      </c>
      <c r="D12" s="11" t="str">
        <f>VLOOKUP(F12,I$1:J$5,2,FALSE)</f>
        <v>vis</v>
      </c>
      <c r="E12" s="25" t="e">
        <f>VLOOKUP(C12,Active!C$21:E$971,3,FALSE)</f>
        <v>#N/A</v>
      </c>
      <c r="F12" s="6" t="s">
        <v>46</v>
      </c>
      <c r="G12" s="11" t="str">
        <f>MID(I12,3,LEN(I12)-3)</f>
        <v>51952.0155</v>
      </c>
      <c r="H12" s="16">
        <f>1*K12</f>
        <v>-19.5</v>
      </c>
      <c r="I12" s="26" t="s">
        <v>48</v>
      </c>
      <c r="J12" s="27" t="s">
        <v>49</v>
      </c>
      <c r="K12" s="26">
        <v>-19.5</v>
      </c>
      <c r="L12" s="26" t="s">
        <v>50</v>
      </c>
      <c r="M12" s="27" t="s">
        <v>51</v>
      </c>
      <c r="N12" s="27" t="s">
        <v>52</v>
      </c>
      <c r="O12" s="28" t="s">
        <v>53</v>
      </c>
      <c r="P12" s="29" t="s">
        <v>54</v>
      </c>
    </row>
    <row r="13" spans="1:16" ht="12.75" customHeight="1" thickBot="1" x14ac:dyDescent="0.25">
      <c r="A13" s="16" t="str">
        <f>P13</f>
        <v>VSB 40 </v>
      </c>
      <c r="B13" s="6" t="str">
        <f>IF(H13=INT(H13),"I","II")</f>
        <v>I</v>
      </c>
      <c r="C13" s="16">
        <f>1*G13</f>
        <v>52278.110699999997</v>
      </c>
      <c r="D13" s="11" t="str">
        <f>VLOOKUP(F13,I$1:J$5,2,FALSE)</f>
        <v>vis</v>
      </c>
      <c r="E13" s="25" t="e">
        <f>VLOOKUP(C13,Active!C$21:E$971,3,FALSE)</f>
        <v>#N/A</v>
      </c>
      <c r="F13" s="6" t="s">
        <v>46</v>
      </c>
      <c r="G13" s="11" t="str">
        <f>MID(I13,3,LEN(I13)-3)</f>
        <v>52278.1107</v>
      </c>
      <c r="H13" s="16">
        <f>1*K13</f>
        <v>449</v>
      </c>
      <c r="I13" s="26" t="s">
        <v>55</v>
      </c>
      <c r="J13" s="27" t="s">
        <v>56</v>
      </c>
      <c r="K13" s="26">
        <v>449</v>
      </c>
      <c r="L13" s="26" t="s">
        <v>57</v>
      </c>
      <c r="M13" s="27" t="s">
        <v>51</v>
      </c>
      <c r="N13" s="27" t="s">
        <v>52</v>
      </c>
      <c r="O13" s="28" t="s">
        <v>53</v>
      </c>
      <c r="P13" s="29" t="s">
        <v>58</v>
      </c>
    </row>
    <row r="14" spans="1:16" x14ac:dyDescent="0.2">
      <c r="B14" s="6"/>
      <c r="F14" s="6"/>
    </row>
    <row r="15" spans="1:16" x14ac:dyDescent="0.2">
      <c r="B15" s="6"/>
      <c r="F15" s="6"/>
    </row>
    <row r="16" spans="1:16" x14ac:dyDescent="0.2">
      <c r="B16" s="6"/>
      <c r="F16" s="6"/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</sheetData>
  <phoneticPr fontId="8" type="noConversion"/>
  <hyperlinks>
    <hyperlink ref="P12" r:id="rId1" display="http://vsolj.cetus-net.org/no39.pdf"/>
    <hyperlink ref="P13" r:id="rId2" display="http://vsolj.cetus-net.org/no40.pdf"/>
    <hyperlink ref="P11" r:id="rId3" display="http://www.konkoly.hu/cgi-bin/IBVS?550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2024-01-26T03:48:18Z</dcterms:modified>
</cp:coreProperties>
</file>