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1496D0F-F0BC-4EA5-8C5A-3B6C5BB387F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9" i="1" l="1"/>
  <c r="Q30" i="1"/>
  <c r="Q31" i="1"/>
  <c r="Q32" i="1"/>
  <c r="Q21" i="1"/>
  <c r="Q22" i="1"/>
  <c r="Q23" i="1"/>
  <c r="Q24" i="1"/>
  <c r="Q27" i="1"/>
  <c r="G11" i="2"/>
  <c r="C11" i="2"/>
  <c r="G16" i="2"/>
  <c r="C16" i="2"/>
  <c r="G15" i="2"/>
  <c r="C15" i="2"/>
  <c r="G14" i="2"/>
  <c r="C14" i="2"/>
  <c r="G13" i="2"/>
  <c r="C13" i="2"/>
  <c r="G12" i="2"/>
  <c r="C12" i="2"/>
  <c r="H11" i="2"/>
  <c r="D11" i="2"/>
  <c r="B11" i="2"/>
  <c r="A11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Q26" i="1"/>
  <c r="Q28" i="1"/>
  <c r="E29" i="1"/>
  <c r="F29" i="1" s="1"/>
  <c r="U29" i="1" s="1"/>
  <c r="K29" i="1" s="1"/>
  <c r="D9" i="1"/>
  <c r="E9" i="1"/>
  <c r="F16" i="1"/>
  <c r="C17" i="1"/>
  <c r="Q25" i="1"/>
  <c r="E27" i="1"/>
  <c r="F27" i="1"/>
  <c r="E31" i="1"/>
  <c r="F31" i="1" s="1"/>
  <c r="G31" i="1" s="1"/>
  <c r="K31" i="1" s="1"/>
  <c r="E22" i="1"/>
  <c r="F22" i="1"/>
  <c r="G22" i="1" s="1"/>
  <c r="J22" i="1" s="1"/>
  <c r="E28" i="1"/>
  <c r="F28" i="1" s="1"/>
  <c r="G28" i="1" s="1"/>
  <c r="K28" i="1" s="1"/>
  <c r="E24" i="1"/>
  <c r="F24" i="1" s="1"/>
  <c r="G24" i="1" s="1"/>
  <c r="J24" i="1" s="1"/>
  <c r="E30" i="1"/>
  <c r="F30" i="1" s="1"/>
  <c r="G30" i="1" s="1"/>
  <c r="K30" i="1" s="1"/>
  <c r="E26" i="1"/>
  <c r="F26" i="1"/>
  <c r="G26" i="1" s="1"/>
  <c r="I26" i="1" s="1"/>
  <c r="E21" i="1"/>
  <c r="F21" i="1"/>
  <c r="G21" i="1" s="1"/>
  <c r="J21" i="1" s="1"/>
  <c r="E32" i="1"/>
  <c r="F32" i="1"/>
  <c r="G32" i="1"/>
  <c r="K32" i="1" s="1"/>
  <c r="G27" i="1"/>
  <c r="K27" i="1" s="1"/>
  <c r="E23" i="1"/>
  <c r="F23" i="1"/>
  <c r="G23" i="1" s="1"/>
  <c r="J23" i="1" s="1"/>
  <c r="E25" i="1"/>
  <c r="F25" i="1"/>
  <c r="U25" i="1"/>
  <c r="E11" i="2"/>
  <c r="E15" i="2"/>
  <c r="E16" i="2"/>
  <c r="E14" i="2"/>
  <c r="E13" i="2"/>
  <c r="E12" i="2"/>
  <c r="C12" i="1"/>
  <c r="C11" i="1"/>
  <c r="O23" i="1" l="1"/>
  <c r="O25" i="1"/>
  <c r="O24" i="1"/>
  <c r="C15" i="1"/>
  <c r="O27" i="1"/>
  <c r="O26" i="1"/>
  <c r="O28" i="1"/>
  <c r="O29" i="1"/>
  <c r="O30" i="1"/>
  <c r="O31" i="1"/>
  <c r="O32" i="1"/>
  <c r="O22" i="1"/>
  <c r="O21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<sst xmlns="http://schemas.openxmlformats.org/spreadsheetml/2006/main" count="141" uniqueCount="89">
  <si>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</si>
  <si>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</si>
  <si>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</si>
  <si>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</si>
  <si>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</si>
  <si>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</si>
  <si>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</si>
  <si>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</si>
  <si>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</si>
  <si>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</si>
  <si>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</si>
  <si>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</si>
  <si>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</si>
  <si>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</si>
  <si>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</si>
  <si>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</si>
  <si>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</si>
  <si>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</si>
  <si>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</si>
  <si>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</si>
  <si>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</si>
  <si>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</si>
  <si>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</si>
  <si>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</si>
  <si>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</si>
  <si>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</si>
  <si>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</si>
  <si>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</si>
  <si>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</si>
  <si>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</si>
  <si>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</si>
  <si>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</si>
  <si>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</si>
  <si>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</si>
  <si>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</si>
  <si>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</si>
  <si>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</si>
  <si>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</si>
  <si>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</si>
  <si>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</si>
  <si>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</si>
  <si>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GZ CMa</t>
  </si>
  <si>
    <t>G5965-0860</t>
  </si>
  <si>
    <t>EA/DM</t>
  </si>
  <si>
    <t>GZ CMa / GSC 5965-0860</t>
  </si>
  <si>
    <t>Kreiner</t>
  </si>
  <si>
    <t>GCVS</t>
  </si>
  <si>
    <t>IBVS 6149</t>
  </si>
  <si>
    <t>I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</si>
  <si>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</si>
  <si>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</si>
  <si>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</si>
  <si>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</si>
  <si>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</si>
  <si>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</si>
  <si>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</si>
  <si>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2443581.5613 </t>
  </si>
  <si>
    <t> 14.03.1978 01:28 </t>
  </si>
  <si>
    <t> -0.0132 </t>
  </si>
  <si>
    <t>E </t>
  </si>
  <si>
    <t>?</t>
  </si>
  <si>
    <t> D.M.Popper et al. </t>
  </si>
  <si>
    <t> AJ 90.1328 </t>
  </si>
  <si>
    <t>2444553.7345 </t>
  </si>
  <si>
    <t> 10.11.1980 05:37 </t>
  </si>
  <si>
    <t> -0.0111 </t>
  </si>
  <si>
    <t>2444625.7466 </t>
  </si>
  <si>
    <t> 21.01.1981 05:55 </t>
  </si>
  <si>
    <t> -0.0117 </t>
  </si>
  <si>
    <t>2444637.7485 </t>
  </si>
  <si>
    <t> 02.02.1981 05:57 </t>
  </si>
  <si>
    <t> -0.0119 </t>
  </si>
  <si>
    <t>2456311.0162 </t>
  </si>
  <si>
    <t> 18.01.2013 12:23 </t>
  </si>
  <si>
    <t> 0.0012 </t>
  </si>
  <si>
    <t>C </t>
  </si>
  <si>
    <t>Ic</t>
  </si>
  <si>
    <t> K.Nagai </t>
  </si>
  <si>
    <t>VSB 56 </t>
  </si>
  <si>
    <t>2456726.2917 </t>
  </si>
  <si>
    <t> 09.03.2014 19:00 </t>
  </si>
  <si>
    <t> 0.0036 </t>
  </si>
  <si>
    <t>-I</t>
  </si>
  <si>
    <t> P.Frank </t>
  </si>
  <si>
    <t>BAVM 238 </t>
  </si>
  <si>
    <t>II</t>
  </si>
  <si>
    <t>VSB 067</t>
  </si>
  <si>
    <t>cG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</si>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</sst>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9" fillId="0" borderId="0" xfId="0" applyNumberFormat="1" applyFont="1" applyAlignment="1">
      <alignment horizontal="left" vertical="center"/>
    </xf>
    <xf numFmtId="0" fontId="17" fillId="0" borderId="0" xfId="0" applyNumberFormat="1" applyFont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2" fillId="4" borderId="12" xfId="7" applyFill="1" applyBorder="1" applyAlignment="1" applyProtection="1">
      <alignment horizontal="right" vertical="top" wrapText="1"/>
    </xf>
    <xf numFmtId="0" fontId="23" fillId="0" borderId="0" xfId="0" applyFont="1" applyAlignme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>
      <alignment vertical="top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GZ CMa - O-C Diagr.</a:t>
            </a:r>
          </a:p>
        </c:rich>
      </c:tx>
      <c:layout>
        <c:manualLayout>
          <c:xMode val="edge"/>
          <c:yMode val="edge"/>
          <c:x val="0.41055045871559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94495412844037"/>
          <c:y val="0.14035127795846455"/>
          <c:w val="0.8566513761467889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2.5999999999999999E-3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2.5999999999999999E-3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-1858</c:v>
                </c:pt>
                <c:pt idx="1">
                  <c:v>-1655.5</c:v>
                </c:pt>
                <c:pt idx="2">
                  <c:v>-1640.5</c:v>
                </c:pt>
                <c:pt idx="3">
                  <c:v>-1638</c:v>
                </c:pt>
                <c:pt idx="4">
                  <c:v>0</c:v>
                </c:pt>
                <c:pt idx="5">
                  <c:v>255</c:v>
                </c:pt>
                <c:pt idx="6">
                  <c:v>793.5</c:v>
                </c:pt>
                <c:pt idx="7">
                  <c:v>880</c:v>
                </c:pt>
                <c:pt idx="8">
                  <c:v>1252</c:v>
                </c:pt>
                <c:pt idx="9">
                  <c:v>1320.5</c:v>
                </c:pt>
                <c:pt idx="10">
                  <c:v>1320.5</c:v>
                </c:pt>
                <c:pt idx="11">
                  <c:v>1320.5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16-41CE-B30B-E62E40B9DD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2.5999999999999999E-3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2.5999999999999999E-3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-1858</c:v>
                </c:pt>
                <c:pt idx="1">
                  <c:v>-1655.5</c:v>
                </c:pt>
                <c:pt idx="2">
                  <c:v>-1640.5</c:v>
                </c:pt>
                <c:pt idx="3">
                  <c:v>-1638</c:v>
                </c:pt>
                <c:pt idx="4">
                  <c:v>0</c:v>
                </c:pt>
                <c:pt idx="5">
                  <c:v>255</c:v>
                </c:pt>
                <c:pt idx="6">
                  <c:v>793.5</c:v>
                </c:pt>
                <c:pt idx="7">
                  <c:v>880</c:v>
                </c:pt>
                <c:pt idx="8">
                  <c:v>1252</c:v>
                </c:pt>
                <c:pt idx="9">
                  <c:v>1320.5</c:v>
                </c:pt>
                <c:pt idx="10">
                  <c:v>1320.5</c:v>
                </c:pt>
                <c:pt idx="11">
                  <c:v>1320.5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5">
                  <c:v>-3.0384999990928918E-3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16-41CE-B30B-E62E40B9DD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2.5999999999999999E-3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2.5999999999999999E-3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-1858</c:v>
                </c:pt>
                <c:pt idx="1">
                  <c:v>-1655.5</c:v>
                </c:pt>
                <c:pt idx="2">
                  <c:v>-1640.5</c:v>
                </c:pt>
                <c:pt idx="3">
                  <c:v>-1638</c:v>
                </c:pt>
                <c:pt idx="4">
                  <c:v>0</c:v>
                </c:pt>
                <c:pt idx="5">
                  <c:v>255</c:v>
                </c:pt>
                <c:pt idx="6">
                  <c:v>793.5</c:v>
                </c:pt>
                <c:pt idx="7">
                  <c:v>880</c:v>
                </c:pt>
                <c:pt idx="8">
                  <c:v>1252</c:v>
                </c:pt>
                <c:pt idx="9">
                  <c:v>1320.5</c:v>
                </c:pt>
                <c:pt idx="10">
                  <c:v>1320.5</c:v>
                </c:pt>
                <c:pt idx="11">
                  <c:v>1320.5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1.6600002709310502E-5</c:v>
                </c:pt>
                <c:pt idx="1">
                  <c:v>5.4485000146087259E-4</c:v>
                </c:pt>
                <c:pt idx="2">
                  <c:v>-1.4564999582944438E-4</c:v>
                </c:pt>
                <c:pt idx="3">
                  <c:v>-3.7739999243058264E-4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16-41CE-B30B-E62E40B9DD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2.5999999999999999E-3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2.5999999999999999E-3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-1858</c:v>
                </c:pt>
                <c:pt idx="1">
                  <c:v>-1655.5</c:v>
                </c:pt>
                <c:pt idx="2">
                  <c:v>-1640.5</c:v>
                </c:pt>
                <c:pt idx="3">
                  <c:v>-1638</c:v>
                </c:pt>
                <c:pt idx="4">
                  <c:v>0</c:v>
                </c:pt>
                <c:pt idx="5">
                  <c:v>255</c:v>
                </c:pt>
                <c:pt idx="6">
                  <c:v>793.5</c:v>
                </c:pt>
                <c:pt idx="7">
                  <c:v>880</c:v>
                </c:pt>
                <c:pt idx="8">
                  <c:v>1252</c:v>
                </c:pt>
                <c:pt idx="9">
                  <c:v>1320.5</c:v>
                </c:pt>
                <c:pt idx="10">
                  <c:v>1320.5</c:v>
                </c:pt>
                <c:pt idx="11">
                  <c:v>1320.5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-6.0174499958520755E-3</c:v>
                </c:pt>
                <c:pt idx="7">
                  <c:v>-4.2759999923873693E-3</c:v>
                </c:pt>
                <c:pt idx="8">
                  <c:v>-0.20298039999761386</c:v>
                </c:pt>
                <c:pt idx="9">
                  <c:v>-1.259034999384312E-2</c:v>
                </c:pt>
                <c:pt idx="10">
                  <c:v>-1.0290349993738346E-2</c:v>
                </c:pt>
                <c:pt idx="11">
                  <c:v>-9.4903499921201728E-3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16-41CE-B30B-E62E40B9DD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2.5999999999999999E-3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2.5999999999999999E-3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-1858</c:v>
                </c:pt>
                <c:pt idx="1">
                  <c:v>-1655.5</c:v>
                </c:pt>
                <c:pt idx="2">
                  <c:v>-1640.5</c:v>
                </c:pt>
                <c:pt idx="3">
                  <c:v>-1638</c:v>
                </c:pt>
                <c:pt idx="4">
                  <c:v>0</c:v>
                </c:pt>
                <c:pt idx="5">
                  <c:v>255</c:v>
                </c:pt>
                <c:pt idx="6">
                  <c:v>793.5</c:v>
                </c:pt>
                <c:pt idx="7">
                  <c:v>880</c:v>
                </c:pt>
                <c:pt idx="8">
                  <c:v>1252</c:v>
                </c:pt>
                <c:pt idx="9">
                  <c:v>1320.5</c:v>
                </c:pt>
                <c:pt idx="10">
                  <c:v>1320.5</c:v>
                </c:pt>
                <c:pt idx="11">
                  <c:v>1320.5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16-41CE-B30B-E62E40B9DD9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2.5999999999999999E-3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2.5999999999999999E-3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-1858</c:v>
                </c:pt>
                <c:pt idx="1">
                  <c:v>-1655.5</c:v>
                </c:pt>
                <c:pt idx="2">
                  <c:v>-1640.5</c:v>
                </c:pt>
                <c:pt idx="3">
                  <c:v>-1638</c:v>
                </c:pt>
                <c:pt idx="4">
                  <c:v>0</c:v>
                </c:pt>
                <c:pt idx="5">
                  <c:v>255</c:v>
                </c:pt>
                <c:pt idx="6">
                  <c:v>793.5</c:v>
                </c:pt>
                <c:pt idx="7">
                  <c:v>880</c:v>
                </c:pt>
                <c:pt idx="8">
                  <c:v>1252</c:v>
                </c:pt>
                <c:pt idx="9">
                  <c:v>1320.5</c:v>
                </c:pt>
                <c:pt idx="10">
                  <c:v>1320.5</c:v>
                </c:pt>
                <c:pt idx="11">
                  <c:v>1320.5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16-41CE-B30B-E62E40B9DD9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2.5999999999999999E-3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2.5999999999999999E-3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-1858</c:v>
                </c:pt>
                <c:pt idx="1">
                  <c:v>-1655.5</c:v>
                </c:pt>
                <c:pt idx="2">
                  <c:v>-1640.5</c:v>
                </c:pt>
                <c:pt idx="3">
                  <c:v>-1638</c:v>
                </c:pt>
                <c:pt idx="4">
                  <c:v>0</c:v>
                </c:pt>
                <c:pt idx="5">
                  <c:v>255</c:v>
                </c:pt>
                <c:pt idx="6">
                  <c:v>793.5</c:v>
                </c:pt>
                <c:pt idx="7">
                  <c:v>880</c:v>
                </c:pt>
                <c:pt idx="8">
                  <c:v>1252</c:v>
                </c:pt>
                <c:pt idx="9">
                  <c:v>1320.5</c:v>
                </c:pt>
                <c:pt idx="10">
                  <c:v>1320.5</c:v>
                </c:pt>
                <c:pt idx="11">
                  <c:v>1320.5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16-41CE-B30B-E62E40B9DD9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-1858</c:v>
                </c:pt>
                <c:pt idx="1">
                  <c:v>-1655.5</c:v>
                </c:pt>
                <c:pt idx="2">
                  <c:v>-1640.5</c:v>
                </c:pt>
                <c:pt idx="3">
                  <c:v>-1638</c:v>
                </c:pt>
                <c:pt idx="4">
                  <c:v>0</c:v>
                </c:pt>
                <c:pt idx="5">
                  <c:v>255</c:v>
                </c:pt>
                <c:pt idx="6">
                  <c:v>793.5</c:v>
                </c:pt>
                <c:pt idx="7">
                  <c:v>880</c:v>
                </c:pt>
                <c:pt idx="8">
                  <c:v>1252</c:v>
                </c:pt>
                <c:pt idx="9">
                  <c:v>1320.5</c:v>
                </c:pt>
                <c:pt idx="10">
                  <c:v>1320.5</c:v>
                </c:pt>
                <c:pt idx="11">
                  <c:v>1320.5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9.0172436681024495E-4</c:v>
                </c:pt>
                <c:pt idx="1">
                  <c:v>2.7534845704141851E-4</c:v>
                </c:pt>
                <c:pt idx="2">
                  <c:v>2.2895024150298635E-4</c:v>
                </c:pt>
                <c:pt idx="3">
                  <c:v>2.2121720557991432E-4</c:v>
                </c:pt>
                <c:pt idx="4">
                  <c:v>-4.8454679312168172E-3</c:v>
                </c:pt>
                <c:pt idx="5">
                  <c:v>-5.6342375953701545E-3</c:v>
                </c:pt>
                <c:pt idx="6">
                  <c:v>-7.2999335331998495E-3</c:v>
                </c:pt>
                <c:pt idx="7">
                  <c:v>-7.5674965761381389E-3</c:v>
                </c:pt>
                <c:pt idx="8">
                  <c:v>-8.7181723214912431E-3</c:v>
                </c:pt>
                <c:pt idx="9">
                  <c:v>-8.9300575057834133E-3</c:v>
                </c:pt>
                <c:pt idx="10">
                  <c:v>-8.9300575057834133E-3</c:v>
                </c:pt>
                <c:pt idx="11">
                  <c:v>-8.9300575057834133E-3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16-41CE-B30B-E62E40B9DD9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-1858</c:v>
                </c:pt>
                <c:pt idx="1">
                  <c:v>-1655.5</c:v>
                </c:pt>
                <c:pt idx="2">
                  <c:v>-1640.5</c:v>
                </c:pt>
                <c:pt idx="3">
                  <c:v>-1638</c:v>
                </c:pt>
                <c:pt idx="4">
                  <c:v>0</c:v>
                </c:pt>
                <c:pt idx="5">
                  <c:v>255</c:v>
                </c:pt>
                <c:pt idx="6">
                  <c:v>793.5</c:v>
                </c:pt>
                <c:pt idx="7">
                  <c:v>880</c:v>
                </c:pt>
                <c:pt idx="8">
                  <c:v>1252</c:v>
                </c:pt>
                <c:pt idx="9">
                  <c:v>1320.5</c:v>
                </c:pt>
                <c:pt idx="10">
                  <c:v>1320.5</c:v>
                </c:pt>
                <c:pt idx="11">
                  <c:v>1320.5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0</c:v>
                </c:pt>
                <c:pt idx="8">
                  <c:v>-0.20298039999761386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616-41CE-B30B-E62E40B9D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666616"/>
        <c:axId val="1"/>
      </c:scatterChart>
      <c:valAx>
        <c:axId val="681666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8256880733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66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43119266055045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20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9E41B47-863E-C036-6F86-7E86FB5798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v-astro.de/sfs/BAVM_link.php?BAVMnr=238" TargetMode="External"/><Relationship Id="rId1" Type="http://schemas.openxmlformats.org/officeDocument/2006/relationships/hyperlink" Target="http://vsolj.cetus-net.org/vsoljno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15" ht="20.25" x14ac:dyDescent="0.3">
      <c r="A1" s="1" t="s">
        <v>44</v>
      </c>
      <c r="F1" s="30" t="s">
        <v>41</v>
      </c>
      <c r="G1" s="31">
        <v>0</v>
      </c>
      <c r="H1" s="32"/>
      <c r="I1" s="33" t="s">
        <v>42</v>
      </c>
      <c r="J1" s="34" t="s">
        <v>41</v>
      </c>
      <c r="K1" s="37">
        <v>7.1619199999999994</v>
      </c>
      <c r="L1" s="38">
        <v>-16.43</v>
      </c>
      <c r="M1" s="39">
        <v>52501.545599999998</v>
      </c>
      <c r="N1" s="39">
        <v>4.8008527000000001</v>
      </c>
      <c r="O1" s="40" t="s">
        <v>43</v>
      </c>
    </row>
    <row r="2" spans="1:15" x14ac:dyDescent="0.2">
      <c r="A2" t="s">
        <v>23</v>
      </c>
      <c r="B2" t="s">
        <v>43</v>
      </c>
      <c r="C2" s="29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53725.760000000002</v>
      </c>
      <c r="D4" s="28">
        <v>4.8008449999999998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62">
        <v>52501.545599999998</v>
      </c>
      <c r="D7" s="33" t="s">
        <v>45</v>
      </c>
    </row>
    <row r="8" spans="1:15" x14ac:dyDescent="0.2">
      <c r="A8" t="s">
        <v>3</v>
      </c>
      <c r="C8" s="62">
        <v>4.8008527000000001</v>
      </c>
      <c r="D8" s="33" t="s">
        <v>45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-4.8454679312168172E-3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-3.0932143692287741E-6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58838.662235489093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4.800849606785631</v>
      </c>
      <c r="E16" s="14" t="s">
        <v>30</v>
      </c>
      <c r="F16" s="36">
        <f ca="1">NOW()+15018.5+$C$5/24</f>
        <v>60335.708236342587</v>
      </c>
    </row>
    <row r="17" spans="1:21" ht="13.5" thickBot="1" x14ac:dyDescent="0.25">
      <c r="A17" s="14" t="s">
        <v>27</v>
      </c>
      <c r="B17" s="10"/>
      <c r="C17" s="10">
        <f>COUNT(C21:C2191)</f>
        <v>12</v>
      </c>
      <c r="E17" s="14" t="s">
        <v>35</v>
      </c>
      <c r="F17" s="15">
        <f ca="1">ROUND(2*(F16-$C$7)/$C$8,0)/2+F15</f>
        <v>1633</v>
      </c>
    </row>
    <row r="18" spans="1:21" ht="14.25" thickTop="1" thickBot="1" x14ac:dyDescent="0.25">
      <c r="A18" s="16" t="s">
        <v>5</v>
      </c>
      <c r="B18" s="10"/>
      <c r="C18" s="19">
        <f ca="1">+C15</f>
        <v>58838.662235489093</v>
      </c>
      <c r="D18" s="20">
        <f ca="1">+C16</f>
        <v>4.800849606785631</v>
      </c>
      <c r="E18" s="14" t="s">
        <v>36</v>
      </c>
      <c r="F18" s="23">
        <f ca="1">ROUND(2*(F16-$C$15)/$C$16,0)/2+F15</f>
        <v>313</v>
      </c>
    </row>
    <row r="19" spans="1:21" ht="13.5" thickTop="1" x14ac:dyDescent="0.2">
      <c r="E19" s="14" t="s">
        <v>31</v>
      </c>
      <c r="F19" s="18">
        <f ca="1">+$C$15+$C$16*F18-15018.5-$C$5/24</f>
        <v>45323.223995746332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6" t="s">
        <v>33</v>
      </c>
    </row>
    <row r="21" spans="1:21" x14ac:dyDescent="0.2">
      <c r="A21" s="56" t="s">
        <v>62</v>
      </c>
      <c r="B21" s="58" t="s">
        <v>48</v>
      </c>
      <c r="C21" s="57">
        <v>43581.561300000001</v>
      </c>
      <c r="D21" s="57" t="s">
        <v>38</v>
      </c>
      <c r="E21">
        <f t="shared" ref="E21:E28" si="0">+(C21-C$7)/C$8</f>
        <v>-1857.9999965422801</v>
      </c>
      <c r="F21">
        <f t="shared" ref="F21:F32" si="1">ROUND(2*E21,0)/2</f>
        <v>-1858</v>
      </c>
      <c r="G21">
        <f>+C21-(C$7+F21*C$8)</f>
        <v>1.6600002709310502E-5</v>
      </c>
      <c r="J21">
        <f>+G21</f>
        <v>1.6600002709310502E-5</v>
      </c>
      <c r="O21">
        <f t="shared" ref="O21:O28" ca="1" si="2">+C$11+C$12*$F21</f>
        <v>9.0172436681024495E-4</v>
      </c>
      <c r="Q21" s="2">
        <f t="shared" ref="Q21:Q28" si="3">+C21-15018.5</f>
        <v>28563.061300000001</v>
      </c>
      <c r="R21" s="2"/>
      <c r="S21" s="2"/>
      <c r="T21" s="2"/>
    </row>
    <row r="22" spans="1:21" x14ac:dyDescent="0.2">
      <c r="A22" s="56" t="s">
        <v>62</v>
      </c>
      <c r="B22" s="58" t="s">
        <v>85</v>
      </c>
      <c r="C22" s="57">
        <v>44553.734499999999</v>
      </c>
      <c r="D22" s="57" t="s">
        <v>38</v>
      </c>
      <c r="E22">
        <f t="shared" si="0"/>
        <v>-1655.4998865097441</v>
      </c>
      <c r="F22">
        <f t="shared" si="1"/>
        <v>-1655.5</v>
      </c>
      <c r="G22">
        <f>+C22-(C$7+F22*C$8)</f>
        <v>5.4485000146087259E-4</v>
      </c>
      <c r="J22">
        <f>+G22</f>
        <v>5.4485000146087259E-4</v>
      </c>
      <c r="O22">
        <f t="shared" ca="1" si="2"/>
        <v>2.7534845704141851E-4</v>
      </c>
      <c r="Q22" s="2">
        <f t="shared" si="3"/>
        <v>29535.234499999999</v>
      </c>
      <c r="R22" s="2"/>
      <c r="S22" s="2"/>
      <c r="T22" s="2"/>
    </row>
    <row r="23" spans="1:21" x14ac:dyDescent="0.2">
      <c r="A23" s="56" t="s">
        <v>62</v>
      </c>
      <c r="B23" s="58" t="s">
        <v>85</v>
      </c>
      <c r="C23" s="57">
        <v>44625.746599999999</v>
      </c>
      <c r="D23" s="57" t="s">
        <v>38</v>
      </c>
      <c r="E23">
        <f t="shared" si="0"/>
        <v>-1640.5000303383604</v>
      </c>
      <c r="F23">
        <f t="shared" si="1"/>
        <v>-1640.5</v>
      </c>
      <c r="G23">
        <f>+C23-(C$7+F23*C$8)</f>
        <v>-1.4564999582944438E-4</v>
      </c>
      <c r="J23">
        <f>+G23</f>
        <v>-1.4564999582944438E-4</v>
      </c>
      <c r="O23">
        <f t="shared" ca="1" si="2"/>
        <v>2.2895024150298635E-4</v>
      </c>
      <c r="Q23" s="2">
        <f t="shared" si="3"/>
        <v>29607.246599999999</v>
      </c>
      <c r="R23" s="2"/>
      <c r="S23" s="2"/>
      <c r="T23" s="2"/>
    </row>
    <row r="24" spans="1:21" x14ac:dyDescent="0.2">
      <c r="A24" s="56" t="s">
        <v>62</v>
      </c>
      <c r="B24" s="58" t="s">
        <v>48</v>
      </c>
      <c r="C24" s="57">
        <v>44637.748500000002</v>
      </c>
      <c r="D24" s="57" t="s">
        <v>38</v>
      </c>
      <c r="E24">
        <f t="shared" si="0"/>
        <v>-1638.0000786110343</v>
      </c>
      <c r="F24">
        <f t="shared" si="1"/>
        <v>-1638</v>
      </c>
      <c r="G24">
        <f>+C24-(C$7+F24*C$8)</f>
        <v>-3.7739999243058264E-4</v>
      </c>
      <c r="J24">
        <f>+G24</f>
        <v>-3.7739999243058264E-4</v>
      </c>
      <c r="O24">
        <f t="shared" ca="1" si="2"/>
        <v>2.2121720557991432E-4</v>
      </c>
      <c r="Q24" s="2">
        <f t="shared" si="3"/>
        <v>29619.248500000002</v>
      </c>
      <c r="R24" s="2"/>
      <c r="S24" s="2"/>
      <c r="T24" s="2"/>
    </row>
    <row r="25" spans="1:21" x14ac:dyDescent="0.2">
      <c r="A25" t="s">
        <v>45</v>
      </c>
      <c r="C25" s="8">
        <v>52501.545599999998</v>
      </c>
      <c r="D25" s="8" t="s">
        <v>13</v>
      </c>
      <c r="E25">
        <f t="shared" si="0"/>
        <v>0</v>
      </c>
      <c r="F25">
        <f t="shared" si="1"/>
        <v>0</v>
      </c>
      <c r="O25">
        <f t="shared" ca="1" si="2"/>
        <v>-4.8454679312168172E-3</v>
      </c>
      <c r="Q25" s="2">
        <f t="shared" si="3"/>
        <v>37483.045599999998</v>
      </c>
      <c r="R25" s="2"/>
      <c r="S25" s="2"/>
      <c r="T25" s="2"/>
      <c r="U25">
        <f>+C25-(C$7+F25*C$8)</f>
        <v>0</v>
      </c>
    </row>
    <row r="26" spans="1:21" x14ac:dyDescent="0.2">
      <c r="A26" t="s">
        <v>46</v>
      </c>
      <c r="C26" s="8">
        <v>53725.760000000002</v>
      </c>
      <c r="D26" s="8"/>
      <c r="E26">
        <f t="shared" si="0"/>
        <v>254.99936709160113</v>
      </c>
      <c r="F26">
        <f t="shared" si="1"/>
        <v>255</v>
      </c>
      <c r="G26">
        <f>+C26-(C$7+F26*C$8)</f>
        <v>-3.0384999990928918E-3</v>
      </c>
      <c r="I26">
        <f>+G26</f>
        <v>-3.0384999990928918E-3</v>
      </c>
      <c r="O26">
        <f t="shared" ca="1" si="2"/>
        <v>-5.6342375953701545E-3</v>
      </c>
      <c r="Q26" s="2">
        <f t="shared" si="3"/>
        <v>38707.26</v>
      </c>
      <c r="R26" s="2"/>
      <c r="S26" s="2"/>
      <c r="T26" s="2"/>
    </row>
    <row r="27" spans="1:21" x14ac:dyDescent="0.2">
      <c r="A27" s="56" t="s">
        <v>78</v>
      </c>
      <c r="B27" s="58" t="s">
        <v>85</v>
      </c>
      <c r="C27" s="57">
        <v>56311.016199999998</v>
      </c>
      <c r="D27" s="57" t="s">
        <v>38</v>
      </c>
      <c r="E27">
        <f t="shared" si="0"/>
        <v>793.49874658724696</v>
      </c>
      <c r="F27">
        <f t="shared" si="1"/>
        <v>793.5</v>
      </c>
      <c r="G27">
        <f>+C27-(C$7+F27*C$8)</f>
        <v>-6.0174499958520755E-3</v>
      </c>
      <c r="K27">
        <f>+G27</f>
        <v>-6.0174499958520755E-3</v>
      </c>
      <c r="O27">
        <f t="shared" ca="1" si="2"/>
        <v>-7.2999335331998495E-3</v>
      </c>
      <c r="Q27" s="2">
        <f t="shared" si="3"/>
        <v>41292.516199999998</v>
      </c>
      <c r="R27" s="2"/>
      <c r="S27" s="2"/>
      <c r="T27" s="2"/>
    </row>
    <row r="28" spans="1:21" x14ac:dyDescent="0.2">
      <c r="A28" s="41" t="s">
        <v>47</v>
      </c>
      <c r="B28" s="42" t="s">
        <v>48</v>
      </c>
      <c r="C28" s="41">
        <v>56726.291700000002</v>
      </c>
      <c r="D28" s="41">
        <v>2.5999999999999999E-3</v>
      </c>
      <c r="E28">
        <f t="shared" si="0"/>
        <v>879.99910932489217</v>
      </c>
      <c r="F28">
        <f t="shared" si="1"/>
        <v>880</v>
      </c>
      <c r="G28">
        <f>+C28-(C$7+F28*C$8)</f>
        <v>-4.2759999923873693E-3</v>
      </c>
      <c r="K28">
        <f>+G28</f>
        <v>-4.2759999923873693E-3</v>
      </c>
      <c r="O28">
        <f t="shared" ca="1" si="2"/>
        <v>-7.5674965761381389E-3</v>
      </c>
      <c r="Q28" s="2">
        <f t="shared" si="3"/>
        <v>41707.791700000002</v>
      </c>
      <c r="R28" s="2"/>
      <c r="S28" s="2"/>
      <c r="T28" s="2"/>
    </row>
    <row r="29" spans="1:21" x14ac:dyDescent="0.2">
      <c r="A29" s="59" t="s">
        <v>86</v>
      </c>
      <c r="B29" s="60" t="s">
        <v>48</v>
      </c>
      <c r="C29" s="61">
        <v>58512.010199999997</v>
      </c>
      <c r="D29" s="61" t="s">
        <v>87</v>
      </c>
      <c r="E29">
        <f>+(C29-C$7)/C$8</f>
        <v>1251.9577199275452</v>
      </c>
      <c r="F29">
        <f t="shared" si="1"/>
        <v>1252</v>
      </c>
      <c r="K29">
        <f>+U29</f>
        <v>-0.20298039999761386</v>
      </c>
      <c r="O29">
        <f ca="1">+C$11+C$12*$F29</f>
        <v>-8.7181723214912431E-3</v>
      </c>
      <c r="Q29" s="2">
        <f>+C29-15018.5</f>
        <v>43493.510199999997</v>
      </c>
      <c r="R29" s="2"/>
      <c r="S29" s="2"/>
      <c r="T29" s="2"/>
      <c r="U29">
        <f>+C29-(C$7+F29*C$8)</f>
        <v>-0.20298039999761386</v>
      </c>
    </row>
    <row r="30" spans="1:21" x14ac:dyDescent="0.2">
      <c r="A30" s="59" t="s">
        <v>86</v>
      </c>
      <c r="B30" s="60" t="s">
        <v>85</v>
      </c>
      <c r="C30" s="61">
        <v>58841.059000000001</v>
      </c>
      <c r="D30" s="61" t="s">
        <v>88</v>
      </c>
      <c r="E30">
        <f>+(C30-C$7)/C$8</f>
        <v>1320.4973774762977</v>
      </c>
      <c r="F30">
        <f t="shared" si="1"/>
        <v>1320.5</v>
      </c>
      <c r="G30">
        <f>+C30-(C$7+F30*C$8)</f>
        <v>-1.259034999384312E-2</v>
      </c>
      <c r="K30">
        <f>+G30</f>
        <v>-1.259034999384312E-2</v>
      </c>
      <c r="O30">
        <f ca="1">+C$11+C$12*$F30</f>
        <v>-8.9300575057834133E-3</v>
      </c>
      <c r="Q30" s="2">
        <f>+C30-15018.5</f>
        <v>43822.559000000001</v>
      </c>
      <c r="R30" s="2"/>
      <c r="S30" s="2"/>
      <c r="T30" s="2"/>
    </row>
    <row r="31" spans="1:21" x14ac:dyDescent="0.2">
      <c r="A31" s="59" t="s">
        <v>86</v>
      </c>
      <c r="B31" s="60" t="s">
        <v>85</v>
      </c>
      <c r="C31" s="61">
        <v>58841.061300000001</v>
      </c>
      <c r="D31" s="61" t="s">
        <v>55</v>
      </c>
      <c r="E31">
        <f>+(C31-C$7)/C$8</f>
        <v>1320.4978565578576</v>
      </c>
      <c r="F31">
        <f t="shared" si="1"/>
        <v>1320.5</v>
      </c>
      <c r="G31">
        <f>+C31-(C$7+F31*C$8)</f>
        <v>-1.0290349993738346E-2</v>
      </c>
      <c r="K31">
        <f>+G31</f>
        <v>-1.0290349993738346E-2</v>
      </c>
      <c r="O31">
        <f ca="1">+C$11+C$12*$F31</f>
        <v>-8.9300575057834133E-3</v>
      </c>
      <c r="Q31" s="2">
        <f>+C31-15018.5</f>
        <v>43822.561300000001</v>
      </c>
      <c r="R31" s="2"/>
      <c r="S31" s="2"/>
      <c r="T31" s="2"/>
    </row>
    <row r="32" spans="1:21" x14ac:dyDescent="0.2">
      <c r="A32" s="59" t="s">
        <v>86</v>
      </c>
      <c r="B32" s="60" t="s">
        <v>85</v>
      </c>
      <c r="C32" s="61">
        <v>58841.062100000003</v>
      </c>
      <c r="D32" s="61" t="s">
        <v>76</v>
      </c>
      <c r="E32">
        <f>+(C32-C$7)/C$8</f>
        <v>1320.4980231949223</v>
      </c>
      <c r="F32">
        <f t="shared" si="1"/>
        <v>1320.5</v>
      </c>
      <c r="G32">
        <f>+C32-(C$7+F32*C$8)</f>
        <v>-9.4903499921201728E-3</v>
      </c>
      <c r="K32">
        <f>+G32</f>
        <v>-9.4903499921201728E-3</v>
      </c>
      <c r="O32">
        <f ca="1">+C$11+C$12*$F32</f>
        <v>-8.9300575057834133E-3</v>
      </c>
      <c r="Q32" s="2">
        <f>+C32-15018.5</f>
        <v>43822.562100000003</v>
      </c>
      <c r="R32" s="2"/>
      <c r="S32" s="2"/>
      <c r="T32" s="2"/>
    </row>
    <row r="33" spans="3:20" x14ac:dyDescent="0.2">
      <c r="C33" s="8"/>
      <c r="D33" s="8"/>
      <c r="Q33" s="2"/>
      <c r="R33" s="2"/>
      <c r="S33" s="2"/>
      <c r="T33" s="2"/>
    </row>
    <row r="34" spans="3:20" x14ac:dyDescent="0.2">
      <c r="C34" s="8"/>
      <c r="D34" s="8"/>
    </row>
    <row r="35" spans="3:20" x14ac:dyDescent="0.2">
      <c r="C35" s="8"/>
      <c r="D35" s="8"/>
    </row>
    <row r="36" spans="3:20" x14ac:dyDescent="0.2">
      <c r="C36" s="8"/>
      <c r="D36" s="8"/>
    </row>
    <row r="37" spans="3:20" x14ac:dyDescent="0.2">
      <c r="C37" s="8"/>
      <c r="D37" s="8"/>
    </row>
    <row r="38" spans="3:20" x14ac:dyDescent="0.2">
      <c r="C38" s="8"/>
      <c r="D38" s="8"/>
    </row>
    <row r="39" spans="3:20" x14ac:dyDescent="0.2">
      <c r="C39" s="8"/>
      <c r="D39" s="8"/>
    </row>
    <row r="40" spans="3:20" x14ac:dyDescent="0.2">
      <c r="C40" s="8"/>
      <c r="D40" s="8"/>
    </row>
    <row r="41" spans="3:20" x14ac:dyDescent="0.2">
      <c r="C41" s="8"/>
      <c r="D41" s="8"/>
    </row>
    <row r="42" spans="3:20" x14ac:dyDescent="0.2">
      <c r="C42" s="8"/>
      <c r="D42" s="8"/>
    </row>
    <row r="43" spans="3:20" x14ac:dyDescent="0.2">
      <c r="C43" s="8"/>
      <c r="D43" s="8"/>
    </row>
    <row r="44" spans="3:20" x14ac:dyDescent="0.2">
      <c r="C44" s="8"/>
      <c r="D44" s="8"/>
    </row>
    <row r="45" spans="3:20" x14ac:dyDescent="0.2">
      <c r="C45" s="8"/>
      <c r="D45" s="8"/>
    </row>
    <row r="46" spans="3:20" x14ac:dyDescent="0.2">
      <c r="C46" s="8"/>
      <c r="D46" s="8"/>
    </row>
    <row r="47" spans="3:20" x14ac:dyDescent="0.2">
      <c r="C47" s="8"/>
      <c r="D47" s="8"/>
    </row>
    <row r="48" spans="3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9:D32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7"/>
  <sheetViews>
    <sheetView workbookViewId="0">
      <selection activeCell="A12" sqref="A12:D1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3" t="s">
        <v>49</v>
      </c>
      <c r="I1" s="44" t="s">
        <v>50</v>
      </c>
      <c r="J1" s="45" t="s">
        <v>40</v>
      </c>
    </row>
    <row r="2" spans="1:16" x14ac:dyDescent="0.2">
      <c r="I2" s="46" t="s">
        <v>51</v>
      </c>
      <c r="J2" s="47" t="s">
        <v>39</v>
      </c>
    </row>
    <row r="3" spans="1:16" x14ac:dyDescent="0.2">
      <c r="A3" s="48" t="s">
        <v>52</v>
      </c>
      <c r="I3" s="46" t="s">
        <v>53</v>
      </c>
      <c r="J3" s="47" t="s">
        <v>37</v>
      </c>
    </row>
    <row r="4" spans="1:16" x14ac:dyDescent="0.2">
      <c r="I4" s="46" t="s">
        <v>54</v>
      </c>
      <c r="J4" s="47" t="s">
        <v>37</v>
      </c>
    </row>
    <row r="5" spans="1:16" ht="13.5" thickBot="1" x14ac:dyDescent="0.25">
      <c r="I5" s="49" t="s">
        <v>55</v>
      </c>
      <c r="J5" s="50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16" si="0">P11</f>
        <v>BAVM 238 </v>
      </c>
      <c r="B11" s="3" t="str">
        <f t="shared" ref="B11:B16" si="1">IF(H11=INT(H11),"I","II")</f>
        <v>I</v>
      </c>
      <c r="C11" s="8">
        <f t="shared" ref="C11:C16" si="2">1*G11</f>
        <v>56726.291700000002</v>
      </c>
      <c r="D11" s="10" t="str">
        <f t="shared" ref="D11:D16" si="3">VLOOKUP(F11,I$1:J$5,2,FALSE)</f>
        <v>vis</v>
      </c>
      <c r="E11" s="51">
        <f>VLOOKUP(C11,Active!C$21:E$973,3,FALSE)</f>
        <v>879.99910932489217</v>
      </c>
      <c r="F11" s="3" t="s">
        <v>55</v>
      </c>
      <c r="G11" s="10" t="str">
        <f t="shared" ref="G11:G16" si="4">MID(I11,3,LEN(I11)-3)</f>
        <v>56726.2917</v>
      </c>
      <c r="H11" s="8">
        <f t="shared" ref="H11:H16" si="5">1*K11</f>
        <v>625</v>
      </c>
      <c r="I11" s="52" t="s">
        <v>79</v>
      </c>
      <c r="J11" s="53" t="s">
        <v>80</v>
      </c>
      <c r="K11" s="52">
        <v>625</v>
      </c>
      <c r="L11" s="52" t="s">
        <v>81</v>
      </c>
      <c r="M11" s="53" t="s">
        <v>75</v>
      </c>
      <c r="N11" s="53" t="s">
        <v>82</v>
      </c>
      <c r="O11" s="54" t="s">
        <v>83</v>
      </c>
      <c r="P11" s="55" t="s">
        <v>84</v>
      </c>
    </row>
    <row r="12" spans="1:16" ht="12.75" customHeight="1" thickBot="1" x14ac:dyDescent="0.25">
      <c r="A12" s="8" t="str">
        <f t="shared" si="0"/>
        <v> AJ 90.1328 </v>
      </c>
      <c r="B12" s="3" t="str">
        <f t="shared" si="1"/>
        <v>I</v>
      </c>
      <c r="C12" s="8">
        <f t="shared" si="2"/>
        <v>43581.561300000001</v>
      </c>
      <c r="D12" s="10" t="str">
        <f t="shared" si="3"/>
        <v>vis</v>
      </c>
      <c r="E12" s="51">
        <f>VLOOKUP(C12,Active!C$21:E$973,3,FALSE)</f>
        <v>-1857.9999965422801</v>
      </c>
      <c r="F12" s="3" t="s">
        <v>55</v>
      </c>
      <c r="G12" s="10" t="str">
        <f t="shared" si="4"/>
        <v>43581.5613</v>
      </c>
      <c r="H12" s="8">
        <f t="shared" si="5"/>
        <v>-2113</v>
      </c>
      <c r="I12" s="52" t="s">
        <v>56</v>
      </c>
      <c r="J12" s="53" t="s">
        <v>57</v>
      </c>
      <c r="K12" s="52">
        <v>-2113</v>
      </c>
      <c r="L12" s="52" t="s">
        <v>58</v>
      </c>
      <c r="M12" s="53" t="s">
        <v>59</v>
      </c>
      <c r="N12" s="53" t="s">
        <v>60</v>
      </c>
      <c r="O12" s="54" t="s">
        <v>61</v>
      </c>
      <c r="P12" s="54" t="s">
        <v>62</v>
      </c>
    </row>
    <row r="13" spans="1:16" ht="12.75" customHeight="1" thickBot="1" x14ac:dyDescent="0.25">
      <c r="A13" s="8" t="str">
        <f t="shared" si="0"/>
        <v> AJ 90.1328 </v>
      </c>
      <c r="B13" s="3" t="str">
        <f t="shared" si="1"/>
        <v>II</v>
      </c>
      <c r="C13" s="8">
        <f t="shared" si="2"/>
        <v>44553.734499999999</v>
      </c>
      <c r="D13" s="10" t="str">
        <f t="shared" si="3"/>
        <v>vis</v>
      </c>
      <c r="E13" s="51">
        <f>VLOOKUP(C13,Active!C$21:E$973,3,FALSE)</f>
        <v>-1655.4998865097441</v>
      </c>
      <c r="F13" s="3" t="s">
        <v>55</v>
      </c>
      <c r="G13" s="10" t="str">
        <f t="shared" si="4"/>
        <v>44553.7345</v>
      </c>
      <c r="H13" s="8">
        <f t="shared" si="5"/>
        <v>-1910.5</v>
      </c>
      <c r="I13" s="52" t="s">
        <v>63</v>
      </c>
      <c r="J13" s="53" t="s">
        <v>64</v>
      </c>
      <c r="K13" s="52">
        <v>-1910.5</v>
      </c>
      <c r="L13" s="52" t="s">
        <v>65</v>
      </c>
      <c r="M13" s="53" t="s">
        <v>59</v>
      </c>
      <c r="N13" s="53" t="s">
        <v>60</v>
      </c>
      <c r="O13" s="54" t="s">
        <v>61</v>
      </c>
      <c r="P13" s="54" t="s">
        <v>62</v>
      </c>
    </row>
    <row r="14" spans="1:16" ht="12.75" customHeight="1" thickBot="1" x14ac:dyDescent="0.25">
      <c r="A14" s="8" t="str">
        <f t="shared" si="0"/>
        <v> AJ 90.1328 </v>
      </c>
      <c r="B14" s="3" t="str">
        <f t="shared" si="1"/>
        <v>II</v>
      </c>
      <c r="C14" s="8">
        <f t="shared" si="2"/>
        <v>44625.746599999999</v>
      </c>
      <c r="D14" s="10" t="str">
        <f t="shared" si="3"/>
        <v>vis</v>
      </c>
      <c r="E14" s="51">
        <f>VLOOKUP(C14,Active!C$21:E$973,3,FALSE)</f>
        <v>-1640.5000303383604</v>
      </c>
      <c r="F14" s="3" t="s">
        <v>55</v>
      </c>
      <c r="G14" s="10" t="str">
        <f t="shared" si="4"/>
        <v>44625.7466</v>
      </c>
      <c r="H14" s="8">
        <f t="shared" si="5"/>
        <v>-1895.5</v>
      </c>
      <c r="I14" s="52" t="s">
        <v>66</v>
      </c>
      <c r="J14" s="53" t="s">
        <v>67</v>
      </c>
      <c r="K14" s="52">
        <v>-1895.5</v>
      </c>
      <c r="L14" s="52" t="s">
        <v>68</v>
      </c>
      <c r="M14" s="53" t="s">
        <v>59</v>
      </c>
      <c r="N14" s="53" t="s">
        <v>60</v>
      </c>
      <c r="O14" s="54" t="s">
        <v>61</v>
      </c>
      <c r="P14" s="54" t="s">
        <v>62</v>
      </c>
    </row>
    <row r="15" spans="1:16" ht="12.75" customHeight="1" thickBot="1" x14ac:dyDescent="0.25">
      <c r="A15" s="8" t="str">
        <f t="shared" si="0"/>
        <v> AJ 90.1328 </v>
      </c>
      <c r="B15" s="3" t="str">
        <f t="shared" si="1"/>
        <v>I</v>
      </c>
      <c r="C15" s="8">
        <f t="shared" si="2"/>
        <v>44637.748500000002</v>
      </c>
      <c r="D15" s="10" t="str">
        <f t="shared" si="3"/>
        <v>vis</v>
      </c>
      <c r="E15" s="51">
        <f>VLOOKUP(C15,Active!C$21:E$973,3,FALSE)</f>
        <v>-1638.0000786110343</v>
      </c>
      <c r="F15" s="3" t="s">
        <v>55</v>
      </c>
      <c r="G15" s="10" t="str">
        <f t="shared" si="4"/>
        <v>44637.7485</v>
      </c>
      <c r="H15" s="8">
        <f t="shared" si="5"/>
        <v>-1893</v>
      </c>
      <c r="I15" s="52" t="s">
        <v>69</v>
      </c>
      <c r="J15" s="53" t="s">
        <v>70</v>
      </c>
      <c r="K15" s="52">
        <v>-1893</v>
      </c>
      <c r="L15" s="52" t="s">
        <v>71</v>
      </c>
      <c r="M15" s="53" t="s">
        <v>59</v>
      </c>
      <c r="N15" s="53" t="s">
        <v>60</v>
      </c>
      <c r="O15" s="54" t="s">
        <v>61</v>
      </c>
      <c r="P15" s="54" t="s">
        <v>62</v>
      </c>
    </row>
    <row r="16" spans="1:16" ht="12.75" customHeight="1" thickBot="1" x14ac:dyDescent="0.25">
      <c r="A16" s="8" t="str">
        <f t="shared" si="0"/>
        <v>VSB 56 </v>
      </c>
      <c r="B16" s="3" t="str">
        <f t="shared" si="1"/>
        <v>II</v>
      </c>
      <c r="C16" s="8">
        <f t="shared" si="2"/>
        <v>56311.016199999998</v>
      </c>
      <c r="D16" s="10" t="str">
        <f t="shared" si="3"/>
        <v>vis</v>
      </c>
      <c r="E16" s="51">
        <f>VLOOKUP(C16,Active!C$21:E$973,3,FALSE)</f>
        <v>793.49874658724696</v>
      </c>
      <c r="F16" s="3" t="s">
        <v>55</v>
      </c>
      <c r="G16" s="10" t="str">
        <f t="shared" si="4"/>
        <v>56311.0162</v>
      </c>
      <c r="H16" s="8">
        <f t="shared" si="5"/>
        <v>538.5</v>
      </c>
      <c r="I16" s="52" t="s">
        <v>72</v>
      </c>
      <c r="J16" s="53" t="s">
        <v>73</v>
      </c>
      <c r="K16" s="52">
        <v>538.5</v>
      </c>
      <c r="L16" s="52" t="s">
        <v>74</v>
      </c>
      <c r="M16" s="53" t="s">
        <v>75</v>
      </c>
      <c r="N16" s="53" t="s">
        <v>76</v>
      </c>
      <c r="O16" s="54" t="s">
        <v>77</v>
      </c>
      <c r="P16" s="55" t="s">
        <v>78</v>
      </c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</sheetData>
  <phoneticPr fontId="8" type="noConversion"/>
  <hyperlinks>
    <hyperlink ref="P16" r:id="rId1" display="http://vsolj.cetus-net.org/vsoljno56.pdf"/>
    <hyperlink ref="P11" r:id="rId2" display="http://www.bav-astro.de/sfs/BAVM_link.php?BAVMnr=238"/>
  </hyperlinks>
  <pageMargins left="0.75" right="0.75" top="1" bottom="1" header="0.5" footer="0.5"/>
  <pageSetup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2024-01-26T03:59:51Z</dcterms:modified>
</cp:coreProperties>
</file>