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8BF665F-E7F5-426A-A56C-24E1229C2AE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2" i="1"/>
  <c r="Q23" i="1"/>
  <c r="Q24" i="1"/>
  <c r="E22" i="1"/>
  <c r="F22" i="1" s="1"/>
  <c r="G22" i="1" s="1"/>
  <c r="I22" i="1" s="1"/>
  <c r="D9" i="1"/>
  <c r="E21" i="1"/>
  <c r="F21" i="1" s="1"/>
  <c r="G21" i="1" s="1"/>
  <c r="K21" i="1" s="1"/>
  <c r="E9" i="1"/>
  <c r="F16" i="1"/>
  <c r="F17" i="1" s="1"/>
  <c r="C17" i="1"/>
  <c r="Q21" i="1"/>
  <c r="E23" i="1"/>
  <c r="F23" i="1" s="1"/>
  <c r="G23" i="1" s="1"/>
  <c r="K23" i="1" s="1"/>
  <c r="C11" i="1"/>
  <c r="C12" i="1"/>
  <c r="C16" i="1" l="1"/>
  <c r="D18" i="1" s="1"/>
  <c r="O22" i="1"/>
  <c r="O23" i="1"/>
  <c r="O24" i="1"/>
  <c r="C15" i="1"/>
  <c r="F18" i="1" s="1"/>
  <c r="O21" i="1"/>
  <c r="C18" i="1" l="1"/>
  <c r="F19" i="1"/>
</calcChain>
</file>

<file path=xl/sharedStrings.xml><?xml version="1.0" encoding="utf-8"?>
<sst xmlns="http://schemas.openxmlformats.org/spreadsheetml/2006/main" count="58" uniqueCount="51">
  <si>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</si>
  <si>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</si>
  <si>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</si>
  <si>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</si>
  <si>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</si>
  <si>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</si>
  <si>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</si>
  <si>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</si>
  <si>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</si>
  <si>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</si>
  <si>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</si>
  <si>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</si>
  <si>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</si>
  <si>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</si>
  <si>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</si>
  <si>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</si>
  <si>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</si>
  <si>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</si>
  <si>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</si>
  <si>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</si>
  <si>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</si>
  <si>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</si>
  <si>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</si>
  <si>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</si>
  <si>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</si>
  <si>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</si>
  <si>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</si>
  <si>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</si>
  <si>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</si>
  <si>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</si>
  <si>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</si>
  <si>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</si>
  <si>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</si>
  <si>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</si>
  <si>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</si>
  <si>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</si>
  <si>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</si>
  <si>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</si>
  <si>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</si>
  <si>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</si>
  <si>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</si>
  <si>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</si>
  <si>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QU CMa</t>
  </si>
  <si>
    <t>G6528-1240</t>
  </si>
  <si>
    <t>EB</t>
  </si>
  <si>
    <t>pr_0</t>
  </si>
  <si>
    <t>~</t>
  </si>
  <si>
    <t>QU CMa / GSC 6528-1240</t>
  </si>
  <si>
    <t>Kreiner</t>
  </si>
  <si>
    <t>GCVS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</si>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</sst>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0" fillId="0" borderId="5" xfId="0" quotePrefix="1" applyBorder="1" applyAlignment="1">
      <alignment horizontal="left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QU CMa - O-C Diagr.</a:t>
            </a:r>
          </a:p>
        </c:rich>
      </c:tx>
      <c:layout>
        <c:manualLayout>
          <c:xMode val="edge"/>
          <c:yMode val="edge"/>
          <c:x val="0.381954887218045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3610</c:v>
                </c:pt>
                <c:pt idx="2">
                  <c:v>6974</c:v>
                </c:pt>
                <c:pt idx="3">
                  <c:v>6996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F8-4820-8728-14B83A2C006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3610</c:v>
                </c:pt>
                <c:pt idx="2">
                  <c:v>6974</c:v>
                </c:pt>
                <c:pt idx="3">
                  <c:v>6996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6.2653000000864267E-2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F8-4820-8728-14B83A2C006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3610</c:v>
                </c:pt>
                <c:pt idx="2">
                  <c:v>6974</c:v>
                </c:pt>
                <c:pt idx="3">
                  <c:v>6996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F8-4820-8728-14B83A2C006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3610</c:v>
                </c:pt>
                <c:pt idx="2">
                  <c:v>6974</c:v>
                </c:pt>
                <c:pt idx="3">
                  <c:v>6996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2">
                  <c:v>8.7650199995550793E-2</c:v>
                </c:pt>
                <c:pt idx="3">
                  <c:v>8.9780800000880845E-2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F8-4820-8728-14B83A2C006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3610</c:v>
                </c:pt>
                <c:pt idx="2">
                  <c:v>6974</c:v>
                </c:pt>
                <c:pt idx="3">
                  <c:v>6996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F8-4820-8728-14B83A2C006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3610</c:v>
                </c:pt>
                <c:pt idx="2">
                  <c:v>6974</c:v>
                </c:pt>
                <c:pt idx="3">
                  <c:v>6996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F8-4820-8728-14B83A2C006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3610</c:v>
                </c:pt>
                <c:pt idx="2">
                  <c:v>6974</c:v>
                </c:pt>
                <c:pt idx="3">
                  <c:v>6996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F8-4820-8728-14B83A2C006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3610</c:v>
                </c:pt>
                <c:pt idx="2">
                  <c:v>6974</c:v>
                </c:pt>
                <c:pt idx="3">
                  <c:v>6996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5.9363780480745226E-3</c:v>
                </c:pt>
                <c:pt idx="1">
                  <c:v>5.0360834303822086E-2</c:v>
                </c:pt>
                <c:pt idx="2">
                  <c:v>9.1758028443527012E-2</c:v>
                </c:pt>
                <c:pt idx="3">
                  <c:v>9.2028759201872284E-2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F8-4820-8728-14B83A2C006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3610</c:v>
                </c:pt>
                <c:pt idx="2">
                  <c:v>6974</c:v>
                </c:pt>
                <c:pt idx="3">
                  <c:v>6996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3F8-4820-8728-14B83A2C0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170384"/>
        <c:axId val="1"/>
      </c:scatterChart>
      <c:valAx>
        <c:axId val="681170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170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329F763-C8F1-221D-F5BA-DB5BDBB105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7: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8" t="s">
        <v>42</v>
      </c>
      <c r="G1" s="31">
        <v>0</v>
      </c>
      <c r="H1" s="32"/>
      <c r="I1" s="39" t="s">
        <v>43</v>
      </c>
      <c r="J1" s="38" t="s">
        <v>42</v>
      </c>
      <c r="K1" s="40">
        <v>7.135460000000001</v>
      </c>
      <c r="L1" s="34">
        <v>-25.492000000000001</v>
      </c>
      <c r="M1" s="35">
        <v>52500.535400000001</v>
      </c>
      <c r="N1" s="35">
        <v>0.63882269999999997</v>
      </c>
      <c r="O1" s="33" t="s">
        <v>44</v>
      </c>
      <c r="P1" s="41">
        <v>11.76</v>
      </c>
      <c r="Q1" s="41">
        <v>12.14</v>
      </c>
      <c r="R1" s="42" t="s">
        <v>45</v>
      </c>
      <c r="S1" s="43" t="s">
        <v>46</v>
      </c>
    </row>
    <row r="2" spans="1:19" x14ac:dyDescent="0.2">
      <c r="A2" t="s">
        <v>24</v>
      </c>
      <c r="B2" t="s">
        <v>44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1</v>
      </c>
      <c r="C4" s="27">
        <v>54806.748</v>
      </c>
      <c r="D4" s="28">
        <v>0.63882709999999998</v>
      </c>
    </row>
    <row r="5" spans="1:19" ht="13.5" thickTop="1" x14ac:dyDescent="0.2">
      <c r="A5" s="9" t="s">
        <v>29</v>
      </c>
      <c r="B5" s="10"/>
      <c r="C5" s="11">
        <v>-9.5</v>
      </c>
      <c r="D5" s="10" t="s">
        <v>30</v>
      </c>
      <c r="E5" s="10"/>
    </row>
    <row r="6" spans="1:19" x14ac:dyDescent="0.2">
      <c r="A6" s="5" t="s">
        <v>2</v>
      </c>
    </row>
    <row r="7" spans="1:19" x14ac:dyDescent="0.2">
      <c r="A7" t="s">
        <v>3</v>
      </c>
      <c r="C7" s="47">
        <v>52500.535400000001</v>
      </c>
      <c r="D7" s="33" t="s">
        <v>48</v>
      </c>
    </row>
    <row r="8" spans="1:19" x14ac:dyDescent="0.2">
      <c r="A8" t="s">
        <v>4</v>
      </c>
      <c r="C8" s="47">
        <v>0.63882269999999997</v>
      </c>
      <c r="D8" s="29" t="s">
        <v>48</v>
      </c>
    </row>
    <row r="9" spans="1:19" x14ac:dyDescent="0.2">
      <c r="A9" s="24" t="s">
        <v>33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19" x14ac:dyDescent="0.2">
      <c r="A11" s="10" t="s">
        <v>16</v>
      </c>
      <c r="B11" s="10"/>
      <c r="C11" s="21">
        <f ca="1">INTERCEPT(INDIRECT($E$9):G992,INDIRECT($D$9):F992)</f>
        <v>5.9363780480745226E-3</v>
      </c>
      <c r="D11" s="3"/>
      <c r="E11" s="10"/>
    </row>
    <row r="12" spans="1:19" x14ac:dyDescent="0.2">
      <c r="A12" s="10" t="s">
        <v>17</v>
      </c>
      <c r="B12" s="10"/>
      <c r="C12" s="21">
        <f ca="1">SLOPE(INDIRECT($E$9):G992,INDIRECT($D$9):F992)</f>
        <v>1.2305943561148909E-5</v>
      </c>
      <c r="D12" s="3"/>
      <c r="E12" s="10"/>
    </row>
    <row r="13" spans="1:19" x14ac:dyDescent="0.2">
      <c r="A13" s="10" t="s">
        <v>19</v>
      </c>
      <c r="B13" s="10"/>
      <c r="C13" s="3" t="s">
        <v>14</v>
      </c>
    </row>
    <row r="14" spans="1:19" x14ac:dyDescent="0.2">
      <c r="A14" s="10"/>
      <c r="B14" s="10"/>
      <c r="C14" s="10"/>
    </row>
    <row r="15" spans="1:19" x14ac:dyDescent="0.2">
      <c r="A15" s="12" t="s">
        <v>18</v>
      </c>
      <c r="B15" s="10"/>
      <c r="C15" s="13">
        <f ca="1">(C7+C11)+(C8+C12)*INT(MAX(F21:F3533))</f>
        <v>56969.8310379592</v>
      </c>
      <c r="E15" s="14" t="s">
        <v>35</v>
      </c>
      <c r="F15" s="36">
        <v>1</v>
      </c>
    </row>
    <row r="16" spans="1:19" x14ac:dyDescent="0.2">
      <c r="A16" s="16" t="s">
        <v>5</v>
      </c>
      <c r="B16" s="10"/>
      <c r="C16" s="17">
        <f ca="1">+C8+C12</f>
        <v>0.63883500594356113</v>
      </c>
      <c r="E16" s="14" t="s">
        <v>31</v>
      </c>
      <c r="F16" s="37">
        <f ca="1">NOW()+15018.5+$C$5/24</f>
        <v>60335.716422337959</v>
      </c>
    </row>
    <row r="17" spans="1:21" ht="13.5" thickBot="1" x14ac:dyDescent="0.25">
      <c r="A17" s="14" t="s">
        <v>28</v>
      </c>
      <c r="B17" s="10"/>
      <c r="C17" s="10">
        <f>COUNT(C21:C2191)</f>
        <v>4</v>
      </c>
      <c r="E17" s="14" t="s">
        <v>36</v>
      </c>
      <c r="F17" s="15">
        <f ca="1">ROUND(2*(F16-$C$7)/$C$8,0)/2+F15</f>
        <v>12266</v>
      </c>
    </row>
    <row r="18" spans="1:21" ht="14.25" thickTop="1" thickBot="1" x14ac:dyDescent="0.25">
      <c r="A18" s="16" t="s">
        <v>6</v>
      </c>
      <c r="B18" s="10"/>
      <c r="C18" s="19">
        <f ca="1">+C15</f>
        <v>56969.8310379592</v>
      </c>
      <c r="D18" s="20">
        <f ca="1">+C16</f>
        <v>0.63883500594356113</v>
      </c>
      <c r="E18" s="14" t="s">
        <v>37</v>
      </c>
      <c r="F18" s="23">
        <f ca="1">ROUND(2*(F16-$C$15)/$C$16,0)/2+F15</f>
        <v>5270</v>
      </c>
    </row>
    <row r="19" spans="1:21" ht="13.5" thickTop="1" x14ac:dyDescent="0.2">
      <c r="E19" s="14" t="s">
        <v>32</v>
      </c>
      <c r="F19" s="18">
        <f ca="1">+$C$15+$C$16*F18-15018.5-$C$5/24</f>
        <v>45318.3873526151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6" t="s">
        <v>34</v>
      </c>
    </row>
    <row r="21" spans="1:21" x14ac:dyDescent="0.2">
      <c r="A21" t="s">
        <v>48</v>
      </c>
      <c r="C21" s="8">
        <v>52500.535400000001</v>
      </c>
      <c r="D21" s="8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5.9363780480745226E-3</v>
      </c>
      <c r="Q21" s="2">
        <f>+C21-15018.5</f>
        <v>37482.035400000001</v>
      </c>
    </row>
    <row r="22" spans="1:21" x14ac:dyDescent="0.2">
      <c r="A22" t="s">
        <v>49</v>
      </c>
      <c r="C22" s="8">
        <v>54806.748</v>
      </c>
      <c r="D22" s="8"/>
      <c r="E22">
        <f>+(C22-C$7)/C$8</f>
        <v>3610.0980757258612</v>
      </c>
      <c r="F22">
        <f>ROUND(2*E22,0)/2</f>
        <v>3610</v>
      </c>
      <c r="G22">
        <f>+C22-(C$7+F22*C$8)</f>
        <v>6.2653000000864267E-2</v>
      </c>
      <c r="I22">
        <f>+G22</f>
        <v>6.2653000000864267E-2</v>
      </c>
      <c r="O22">
        <f ca="1">+C$11+C$12*$F22</f>
        <v>5.0360834303822086E-2</v>
      </c>
      <c r="Q22" s="2">
        <f>+C22-15018.5</f>
        <v>39788.248</v>
      </c>
    </row>
    <row r="23" spans="1:21" x14ac:dyDescent="0.2">
      <c r="A23" s="44" t="s">
        <v>50</v>
      </c>
      <c r="B23" s="45" t="s">
        <v>0</v>
      </c>
      <c r="C23" s="46">
        <v>56955.772559999998</v>
      </c>
      <c r="D23" s="46">
        <v>2.0000000000000001E-4</v>
      </c>
      <c r="E23">
        <f>+(C23-C$7)/C$8</f>
        <v>6974.1372058319112</v>
      </c>
      <c r="F23">
        <f>ROUND(2*E23,0)/2</f>
        <v>6974</v>
      </c>
      <c r="G23">
        <f>+C23-(C$7+F23*C$8)</f>
        <v>8.7650199995550793E-2</v>
      </c>
      <c r="K23">
        <f>+G23</f>
        <v>8.7650199995550793E-2</v>
      </c>
      <c r="O23">
        <f ca="1">+C$11+C$12*$F23</f>
        <v>9.1758028443527012E-2</v>
      </c>
      <c r="Q23" s="2">
        <f>+C23-15018.5</f>
        <v>41937.272559999998</v>
      </c>
    </row>
    <row r="24" spans="1:21" x14ac:dyDescent="0.2">
      <c r="A24" s="44" t="s">
        <v>50</v>
      </c>
      <c r="B24" s="45" t="s">
        <v>0</v>
      </c>
      <c r="C24" s="46">
        <v>56969.82879</v>
      </c>
      <c r="D24" s="46">
        <v>2.0000000000000001E-4</v>
      </c>
      <c r="E24">
        <f>+(C24-C$7)/C$8</f>
        <v>6996.1405410296147</v>
      </c>
      <c r="F24">
        <f>ROUND(2*E24,0)/2</f>
        <v>6996</v>
      </c>
      <c r="G24">
        <f>+C24-(C$7+F24*C$8)</f>
        <v>8.9780800000880845E-2</v>
      </c>
      <c r="K24">
        <f>+G24</f>
        <v>8.9780800000880845E-2</v>
      </c>
      <c r="O24">
        <f ca="1">+C$11+C$12*$F24</f>
        <v>9.2028759201872284E-2</v>
      </c>
      <c r="Q24" s="2">
        <f>+C24-15018.5</f>
        <v>41951.32879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hyperlinks>
    <hyperlink ref="H1699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2024-01-26T04:11:38Z</dcterms:modified>
</cp:coreProperties>
</file>